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jpe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<sst xmlns="http://schemas.openxmlformats.org/spreadsheetml/2006/main" uniqueCount="1600">
  <si>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</si>
  <si>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</si>
  <si>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</si>
  <si>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</si>
  <si>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</si>
  <si>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</si>
  <si>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</si>
  <si>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</si>
  <si>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</si>
  <si>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</si>
  <si>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</si>
  <si>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</si>
  <si>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</si>
  <si>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</si>
  <si>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</si>
  <si>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</si>
  <si>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</si>
  <si>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</si>
  <si>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</si>
  <si>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</si>
  <si>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</si>
  <si>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</si>
  <si>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</si>
  <si>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</si>
  <si>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</si>
  <si>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</si>
  <si>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</si>
  <si>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</si>
  <si>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</si>
  <si>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</si>
  <si>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</si>
  <si>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</si>
  <si>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</si>
  <si>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</si>
  <si>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</si>
  <si>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</si>
  <si>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</si>
  <si>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</si>
  <si>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</si>
  <si>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</si>
  <si>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</si>
  <si>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</si>
  <si>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</si>
  <si>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</si>
  <si>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</si>
  <si>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</si>
  <si>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</si>
  <si>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</si>
  <si>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</si>
  <si>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</si>
  <si>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</si>
  <si>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</si>
  <si>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</si>
  <si>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</si>
  <si>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</si>
  <si>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</si>
  <si>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</si>
  <si>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</si>
  <si>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</si>
  <si>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</si>
  <si>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</si>
  <si>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</si>
  <si>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</si>
  <si>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</si>
  <si>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</si>
  <si>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</si>
  <si>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</si>
  <si>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</si>
  <si>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</si>
  <si>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</si>
  <si>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</si>
  <si>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</si>
  <si>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</si>
  <si>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</si>
  <si>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</si>
  <si>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</si>
  <si>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</si>
  <si>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</si>
  <si>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</si>
  <si>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</si>
  <si>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</si>
  <si>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</si>
  <si>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</si>
  <si>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</si>
  <si>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</si>
  <si>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</si>
  <si>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</si>
  <si>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</si>
  <si>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</si>
  <si>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</si>
  <si>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</si>
  <si>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</si>
  <si>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</si>
  <si>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</si>
  <si>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</si>
  <si>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</si>
  <si>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</si>
  <si>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</si>
  <si>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</si>
  <si>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</si>
  <si>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</si>
  <si>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</si>
  <si>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</si>
  <si>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</si>
  <si>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</si>
  <si>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</si>
  <si>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</si>
  <si>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</si>
  <si>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</si>
  <si>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</si>
  <si>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</si>
  <si>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</si>
  <si>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</si>
  <si>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</si>
  <si>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</si>
  <si>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</si>
  <si>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</si>
  <si>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</si>
  <si>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</si>
  <si>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</si>
  <si>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</si>
  <si>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</si>
  <si>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</si>
  <si>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</si>
  <si>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</si>
  <si>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</si>
  <si>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</si>
  <si>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</si>
  <si>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</si>
  <si>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</si>
  <si>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</si>
  <si>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</si>
  <si>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</si>
  <si>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</si>
  <si>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</si>
  <si>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</si>
  <si>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</si>
  <si>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</si>
  <si>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</si>
  <si>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</si>
  <si>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</si>
  <si>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</si>
  <si>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</si>
  <si>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</si>
  <si>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</si>
  <si>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</si>
  <si>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</si>
  <si>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</si>
  <si>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</si>
  <si>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</si>
  <si>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</si>
  <si>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</si>
  <si>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</si>
  <si>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</si>
  <si>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</si>
  <si>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</si>
  <si>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</si>
  <si>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</si>
  <si>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</si>
  <si>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</si>
  <si>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</si>
  <si>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</si>
  <si>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</si>
  <si>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</si>
  <si>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</si>
  <si>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</si>
  <si>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</si>
  <si>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</si>
  <si>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</si>
  <si>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</si>
  <si>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</si>
  <si>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</si>
  <si>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</si>
  <si>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</si>
  <si>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</si>
  <si>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</si>
  <si>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</si>
  <si>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</si>
  <si>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</si>
  <si>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</si>
  <si>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</si>
  <si>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</si>
  <si>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</si>
  <si>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</si>
  <si>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</si>
  <si>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</si>
  <si>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</si>
  <si>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</si>
  <si>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</si>
  <si>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</si>
  <si>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</si>
  <si>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</si>
  <si>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</si>
  <si>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</si>
  <si>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</si>
  <si>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</si>
  <si>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</si>
  <si>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</si>
  <si>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</si>
  <si>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</si>
  <si>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</si>
  <si>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</si>
  <si>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</si>
  <si>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</si>
  <si>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</si>
  <si>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</si>
  <si>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</si>
  <si>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</si>
  <si>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</si>
  <si>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</si>
  <si>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</si>
  <si>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</si>
  <si>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</si>
  <si>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</si>
  <si>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</si>
  <si>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</si>
  <si>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</si>
  <si>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</si>
  <si>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</si>
  <si>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</si>
  <si>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</si>
  <si>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</si>
  <si>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</si>
  <si>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</si>
  <si>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</si>
  <si>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</si>
  <si>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</si>
  <si>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</si>
  <si>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</si>
  <si>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</si>
  <si>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</si>
  <si>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</si>
  <si>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</si>
  <si>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</si>
  <si>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</si>
  <si>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</si>
  <si>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</si>
  <si>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</si>
  <si>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</si>
  <si>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</si>
  <si>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</si>
  <si>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</si>
  <si>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</si>
  <si>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</si>
  <si>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</si>
  <si>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</si>
  <si>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</si>
  <si>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</si>
  <si>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</si>
  <si>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</si>
  <si>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</si>
  <si>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</si>
  <si>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</si>
  <si>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</si>
  <si>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</si>
  <si>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</si>
  <si>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</si>
  <si>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</si>
  <si>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</si>
  <si>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</si>
  <si>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</si>
  <si>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</si>
  <si>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</si>
  <si>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</si>
  <si>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</si>
  <si>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</si>
  <si>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</si>
  <si>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</si>
  <si>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</si>
  <si>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</si>
  <si>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</si>
  <si>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</si>
  <si>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</si>
  <si>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</si>
  <si>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</si>
  <si>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</si>
  <si>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</si>
  <si>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</si>
  <si>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</si>
  <si>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</si>
  <si>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</si>
  <si>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</si>
  <si>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</si>
  <si>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</si>
  <si>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</si>
  <si>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</si>
  <si>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</si>
  <si>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</si>
  <si>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</si>
  <si>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</si>
  <si>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</si>
  <si>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</si>
  <si>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</si>
  <si>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</si>
  <si>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</si>
  <si>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</si>
  <si>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</si>
  <si>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</si>
  <si>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</si>
  <si>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</si>
  <si>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</si>
  <si>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</si>
  <si>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</si>
  <si>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</si>
  <si>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</si>
  <si>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</si>
  <si>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</si>
  <si>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</si>
  <si>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</si>
  <si>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</si>
  <si>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</si>
  <si>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</si>
  <si>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</si>
  <si>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</si>
  <si>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</si>
  <si>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</si>
  <si>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</si>
  <si>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</si>
  <si>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</si>
  <si>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</si>
  <si>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</si>
  <si>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</si>
  <si>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</si>
  <si>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</si>
  <si>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</si>
  <si>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</si>
  <si>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</si>
  <si>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</si>
  <si>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</si>
  <si>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</si>
  <si>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</si>
  <si>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</si>
  <si>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</si>
  <si>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</si>
  <si>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</si>
  <si>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</si>
  <si>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</si>
  <si>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</si>
  <si>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</si>
  <si>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</si>
  <si>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</si>
  <si>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</si>
  <si>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</si>
  <si>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</si>
  <si>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</si>
  <si>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</si>
  <si>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</si>
  <si>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</si>
  <si>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</si>
  <si>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</si>
  <si>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</si>
  <si>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</si>
  <si>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</si>
  <si>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</si>
  <si>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</si>
  <si>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</si>
  <si>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</si>
  <si>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</si>
  <si>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</si>
  <si>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</si>
  <si>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</si>
  <si>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</si>
  <si>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</si>
  <si>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</si>
  <si>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</si>
  <si>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</si>
  <si>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</si>
  <si>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</si>
  <si>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</si>
  <si>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</si>
  <si>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</si>
  <si>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</si>
  <si>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</si>
  <si>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</si>
  <si>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</si>
  <si>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</si>
  <si>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</si>
  <si>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</si>
  <si>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</si>
  <si>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</si>
  <si>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</si>
  <si>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</si>
  <si>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</si>
  <si>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</si>
  <si>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</si>
  <si>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</si>
  <si>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</si>
  <si>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</si>
  <si>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</si>
  <si>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</si>
  <si>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</si>
  <si>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</si>
  <si>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</si>
  <si>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</si>
  <si>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</si>
  <si>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</si>
  <si>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</si>
  <si>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</si>
  <si>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</si>
  <si>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</si>
  <si>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</si>
  <si>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</si>
  <si>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</si>
  <si>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</si>
  <si>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</si>
  <si>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</si>
  <si>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</si>
  <si>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</si>
  <si>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</si>
  <si>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</si>
  <si>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</si>
  <si>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</si>
  <si>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</si>
  <si>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</si>
  <si>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</si>
  <si>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</si>
  <si>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</si>
  <si>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</si>
  <si>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</si>
  <si>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</si>
  <si>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</si>
  <si>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</si>
  <si>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</si>
  <si>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</si>
  <si>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</si>
  <si>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</si>
  <si>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</si>
  <si>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</si>
  <si>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</si>
  <si>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</si>
  <si>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</si>
  <si>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</si>
  <si>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</si>
  <si>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</si>
  <si>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</si>
  <si>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</si>
  <si>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</si>
  <si>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</si>
  <si>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</si>
  <si>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</si>
  <si>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</si>
  <si>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</si>
  <si>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</si>
  <si>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</si>
  <si>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</si>
  <si>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</si>
  <si>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</si>
  <si>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</si>
  <si>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</si>
  <si>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</si>
  <si>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</si>
  <si>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</si>
  <si>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</si>
  <si>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</si>
  <si>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</si>
  <si>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</si>
  <si>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</si>
  <si>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</si>
  <si>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</si>
  <si>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</si>
  <si>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</si>
  <si>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</si>
  <si>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</si>
  <si>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</si>
  <si>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</si>
  <si>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</si>
  <si>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</si>
  <si>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</si>
  <si>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</si>
  <si>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</si>
  <si>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</si>
  <si>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</si>
  <si>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</si>
  <si>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</si>
  <si>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</si>
  <si>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</si>
  <si>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</si>
  <si>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</si>
  <si>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</si>
  <si>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</si>
  <si>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</si>
  <si>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</si>
  <si>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</si>
  <si>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</si>
  <si>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</si>
  <si>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</si>
  <si>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</si>
  <si>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</si>
  <si>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</si>
  <si>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</si>
  <si>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</si>
  <si>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</si>
  <si>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</si>
  <si>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</si>
  <si>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</si>
  <si>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</si>
  <si>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</si>
  <si>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</si>
  <si>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</si>
  <si>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</si>
  <si>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</si>
  <si>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</si>
  <si>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</si>
  <si>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</si>
  <si>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</si>
  <si>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</si>
  <si>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</si>
  <si>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</si>
  <si>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</si>
  <si>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</si>
  <si>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</si>
  <si>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</si>
  <si>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</si>
  <si>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</si>
  <si>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</si>
  <si>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</si>
  <si>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</si>
  <si>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</si>
  <si>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</si>
  <si>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</si>
  <si>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</si>
  <si>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</si>
  <si>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</si>
  <si>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</si>
  <si>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</si>
  <si>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</si>
  <si>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</si>
  <si>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</si>
  <si>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</si>
  <si>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</si>
  <si>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</si>
  <si>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</si>
  <si>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</si>
  <si>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</si>
  <si>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</si>
  <si>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</si>
  <si>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</si>
  <si>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</si>
  <si>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</si>
  <si>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</si>
  <si>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</si>
  <si>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</si>
  <si>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</si>
  <si>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</si>
  <si>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</si>
  <si>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</si>
  <si>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</si>
  <si>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</si>
  <si>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</si>
  <si>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</si>
  <si>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</si>
  <si>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</si>
  <si>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</si>
  <si>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</si>
  <si>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</si>
  <si>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</si>
  <si>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</si>
  <si>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</si>
  <si>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</si>
  <si>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</si>
  <si>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</si>
  <si>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</si>
  <si>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</si>
  <si>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</si>
  <si>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</si>
  <si>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</si>
  <si>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</si>
  <si>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</si>
  <si>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</si>
  <si>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</si>
  <si>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</si>
  <si>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</si>
  <si>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</si>
  <si>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</si>
  <si>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</si>
  <si>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</si>
  <si>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</si>
  <si>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</si>
  <si>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</si>
  <si>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</si>
  <si>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</si>
  <si>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</si>
  <si>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</si>
  <si>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</si>
  <si>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</si>
  <si>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</si>
  <si>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</si>
  <si>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</si>
  <si>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</si>
  <si>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</si>
  <si>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</si>
  <si>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</si>
  <si>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</si>
  <si>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</si>
  <si>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</si>
  <si>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</si>
  <si>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</si>
  <si>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</si>
  <si>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</si>
  <si>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</si>
  <si>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</si>
  <si>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</si>
  <si>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</si>
  <si>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</si>
  <si>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</si>
  <si>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</si>
  <si>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</si>
  <si>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</si>
  <si>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</si>
  <si>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</si>
  <si>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</si>
  <si>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</si>
  <si>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</si>
  <si>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</si>
  <si>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</si>
  <si>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</si>
  <si>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</si>
  <si>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</si>
  <si>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</si>
  <si>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</si>
  <si>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</si>
  <si>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</si>
  <si>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</si>
  <si>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</si>
  <si>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</si>
  <si>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</si>
  <si>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</si>
  <si>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</si>
  <si>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</si>
  <si>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</si>
  <si>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</si>
  <si>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</si>
  <si>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</si>
  <si>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</si>
  <si>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</si>
  <si>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</si>
  <si>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</si>
  <si>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</si>
  <si>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</si>
  <si>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</si>
  <si>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</si>
  <si>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</si>
  <si>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</si>
  <si>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</si>
  <si>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</si>
  <si>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</si>
  <si>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</si>
  <si>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</si>
  <si>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</si>
  <si>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</si>
  <si>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</si>
  <si>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</si>
  <si>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</si>
  <si>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</si>
  <si>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</si>
  <si>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</si>
  <si>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</si>
  <si>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</si>
  <si>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</si>
  <si>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</si>
  <si>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</si>
  <si>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</si>
  <si>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</si>
  <si>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</si>
  <si>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</si>
  <si>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</si>
  <si>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</si>
  <si>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</si>
  <si>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</si>
  <si>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</si>
  <si>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</si>
  <si>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</si>
  <si>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</si>
  <si>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</si>
  <si>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</si>
  <si>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</si>
  <si>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</si>
  <si>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</si>
  <si>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</si>
  <si>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</si>
  <si>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</si>
  <si>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</si>
  <si>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</si>
  <si>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</si>
  <si>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</si>
  <si>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</si>
  <si>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</si>
  <si>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</si>
  <si>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</si>
  <si>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</si>
  <si>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</si>
  <si>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</si>
  <si>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</si>
  <si>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</si>
  <si>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</si>
  <si>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</si>
  <si>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</si>
  <si>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</si>
  <si>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</si>
  <si>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</si>
  <si>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</si>
  <si>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</si>
  <si>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</si>
  <si>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</si>
  <si>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</si>
  <si>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</si>
  <si>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</si>
  <si>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</si>
  <si>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</si>
  <si>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</si>
  <si>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</si>
  <si>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</si>
  <si>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</si>
  <si>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</si>
  <si>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</si>
  <si>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</si>
  <si>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</si>
  <si>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</si>
  <si>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</si>
  <si>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</si>
  <si>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</si>
  <si>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</si>
  <si>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</si>
  <si>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</si>
  <si>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</si>
  <si>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</si>
  <si>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</si>
  <si>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</si>
  <si>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</si>
  <si>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</si>
  <si>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</si>
  <si>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</si>
  <si>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</si>
  <si>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</si>
  <si>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</si>
  <si>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</si>
  <si>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</si>
  <si>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</si>
  <si>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</si>
  <si>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</si>
  <si>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</si>
  <si>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</si>
  <si>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</si>
  <si>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</si>
  <si>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</si>
  <si>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</si>
  <si>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</si>
  <si>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</si>
  <si>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</si>
  <si>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</si>
  <si>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</si>
  <si>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</si>
  <si>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</si>
  <si>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</si>
  <si>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</si>
  <si>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</si>
  <si>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</si>
  <si>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</si>
  <si>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</si>
  <si>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</si>
  <si>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</si>
  <si>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</si>
  <si>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</si>
  <si>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</si>
  <si>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</si>
  <si>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</si>
  <si>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</si>
  <si>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</si>
  <si>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</si>
  <si>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</si>
  <si>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</si>
  <si>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</si>
  <si>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</si>
  <si>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</si>
  <si>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</si>
  <si>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</si>
  <si>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</si>
  <si>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</si>
  <si>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</si>
  <si>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</si>
  <si>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</si>
  <si>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</si>
  <si>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</si>
  <si>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</si>
  <si>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</si>
  <si>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</si>
  <si>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</si>
  <si>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</si>
  <si>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</si>
  <si>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</si>
  <si>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</si>
  <si>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</si>
  <si>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</si>
  <si>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</si>
  <si>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</si>
  <si>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</si>
  <si>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</si>
  <si>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</si>
  <si>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</si>
  <si>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</si>
  <si>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</si>
  <si>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</si>
  <si>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</si>
  <si>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</si>
  <si>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</si>
  <si>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</si>
  <si>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</si>
  <si>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</si>
  <si>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</si>
  <si>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</si>
  <si>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</si>
  <si>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</si>
  <si>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</si>
  <si>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</si>
  <si>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</si>
  <si>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</si>
  <si>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</si>
  <si>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</si>
  <si>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</si>
  <si>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</si>
  <si>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</si>
  <si>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</si>
  <si>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</si>
  <si>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</si>
  <si>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</si>
  <si>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</si>
  <si>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</si>
  <si>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</si>
  <si>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</si>
  <si>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</si>
  <si>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</si>
  <si>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</si>
  <si>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</si>
  <si>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</si>
  <si>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</si>
  <si>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</si>
  <si>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</si>
  <si>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</si>
  <si>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</si>
  <si>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</si>
  <si>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</si>
  <si>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</si>
  <si>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</si>
  <si>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</si>
  <si>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</si>
  <si>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</si>
  <si>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</si>
  <si>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</si>
  <si>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</si>
  <si>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</si>
  <si>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</si>
  <si>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</si>
  <si>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</si>
  <si>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</si>
  <si>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</si>
  <si>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</si>
  <si>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</si>
  <si>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</si>
  <si>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</si>
  <si>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</si>
  <si>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</si>
  <si>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</si>
  <si>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</si>
  <si>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</si>
  <si>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</si>
  <si>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</si>
  <si>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</si>
  <si>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</si>
  <si>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</si>
  <si>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</si>
  <si>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</si>
  <si>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</si>
  <si>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</si>
  <si>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</si>
  <si>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</si>
  <si>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</si>
  <si>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</si>
  <si>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</si>
  <si>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</si>
  <si>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</si>
  <si>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</si>
  <si>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</si>
  <si>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</si>
  <si>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</si>
  <si>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</si>
  <si>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</si>
  <si>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</si>
  <si>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</si>
  <si>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</si>
  <si>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</si>
  <si>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</si>
  <si>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</si>
  <si>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</si>
  <si>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</si>
  <si>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</si>
  <si>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</si>
  <si>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</si>
  <si>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</si>
  <si>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</si>
  <si>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</si>
  <si>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</si>
  <si>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</si>
  <si>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</si>
  <si>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</si>
  <si>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</si>
  <si>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</si>
  <si>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</si>
  <si>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</si>
  <si>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</si>
  <si>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</si>
  <si>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</si>
  <si>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</si>
  <si>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</si>
  <si>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</si>
  <si>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</si>
  <si>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</si>
  <si>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</si>
  <si>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</si>
  <si>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</si>
  <si>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</si>
  <si>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</si>
  <si>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</si>
  <si>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</si>
  <si>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</si>
  <si>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</si>
  <si>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</si>
  <si>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</si>
  <si>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</si>
  <si>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</si>
  <si>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</si>
  <si>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</si>
  <si>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</si>
  <si>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</si>
  <si>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</si>
  <si>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</si>
  <si>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</si>
  <si>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</si>
  <si>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</si>
  <si>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</si>
  <si>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</si>
  <si>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</si>
  <si>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</si>
  <si>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</si>
  <si>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</si>
  <si>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</si>
  <si>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</si>
  <si>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</si>
  <si>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</si>
  <si>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</si>
  <si>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</si>
  <si>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</si>
  <si>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</si>
  <si>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</si>
  <si>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</si>
  <si>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</si>
  <si>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</si>
  <si>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</si>
  <si>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</si>
  <si>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</si>
  <si>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</si>
  <si>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</si>
  <si>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</si>
  <si>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</si>
  <si>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</si>
  <si>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</si>
  <si>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</si>
  <si>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</si>
  <si>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</si>
  <si>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</si>
  <si>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</si>
  <si>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</si>
  <si>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</si>
  <si>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</si>
  <si>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</si>
  <si>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</si>
  <si>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</si>
  <si>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</si>
  <si>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</si>
  <si>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</si>
  <si>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</si>
  <si>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</si>
  <si>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</si>
  <si>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</si>
  <si>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</si>
  <si>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</si>
  <si>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</si>
  <si>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</si>
  <si>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</si>
  <si>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</si>
  <si>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</si>
  <si>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</si>
  <si>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</si>
  <si>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</si>
  <si>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</si>
  <si>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</si>
  <si>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</si>
  <si>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</si>
  <si>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</si>
  <si>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</si>
  <si>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</si>
  <si>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</si>
  <si>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</si>
  <si>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</si>
  <si>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</si>
  <si>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</si>
  <si>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</si>
  <si>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</si>
  <si>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</si>
  <si>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</si>
  <si>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</si>
  <si>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</si>
  <si>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</si>
  <si>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</si>
  <si>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</si>
  <si>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</si>
  <si>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</si>
  <si>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</si>
  <si>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</si>
  <si>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</si>
  <si>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</si>
  <si>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</si>
  <si>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</si>
  <si>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</si>
  <si>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</si>
  <si>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</si>
  <si>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</si>
  <si>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</si>
  <si>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</si>
  <si>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</si>
  <si>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</si>
  <si>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</si>
  <si>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</si>
  <si>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</si>
  <si>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</si>
  <si>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</si>
  <si>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</si>
  <si>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</si>
  <si>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</si>
  <si>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</si>
  <si>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</si>
  <si>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</si>
  <si>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</si>
  <si>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</si>
  <si>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</si>
  <si>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</si>
  <si>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</si>
  <si>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</si>
  <si>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</si>
  <si>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</si>
  <si>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</si>
  <si>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</si>
  <si>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</si>
  <si>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</si>
  <si>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</si>
  <si>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</si>
  <si>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</si>
  <si>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</si>
  <si>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</si>
  <si>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</si>
  <si>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</si>
  <si>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</si>
  <si>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</si>
  <si>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</si>
  <si>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</si>
  <si>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</si>
  <si>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</si>
  <si>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</si>
  <si>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</si>
  <si>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</si>
  <si>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</si>
  <si>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</si>
  <si>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</si>
  <si>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</si>
  <si>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</si>
  <si>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</si>
  <si>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</si>
  <si>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</si>
  <si>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</si>
  <si>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</si>
  <si>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</si>
  <si>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</si>
  <si>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</si>
  <si>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</si>
  <si>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</si>
  <si>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</si>
  <si>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</si>
  <si>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</si>
  <si>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</si>
  <si>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</si>
  <si>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</si>
  <si>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</si>
  <si>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</si>
  <si>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</si>
  <si>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</si>
  <si>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</si>
  <si>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</si>
  <si>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</si>
  <si>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</si>
  <si>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</si>
  <si>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</si>
  <si>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</si>
  <si>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</si>
  <si>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</si>
  <si>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</si>
  <si>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</si>
  <si>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</si>
  <si>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</si>
  <si>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</si>
  <si>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</si>
  <si>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</si>
  <si>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</si>
  <si>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</si>
  <si>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</si>
  <si>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</si>
  <si>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</si>
  <si>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</si>
  <si>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</si>
  <si>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</si>
  <si>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</si>
  <si>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</si>
  <si>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</si>
  <si>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</si>
  <si>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</si>
  <si>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</si>
  <si>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</si>
  <si>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</si>
  <si>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</si>
  <si>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</si>
  <si>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</si>
  <si>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</si>
  <si>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</si>
  <si>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</si>
  <si>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</si>
  <si>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</si>
  <si>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</si>
  <si>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</si>
  <si>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</si>
  <si>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</si>
  <si>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</si>
  <si>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</si>
  <si>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</si>
  <si>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</si>
  <si>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</si>
  <si>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</si>
  <si>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</si>
  <si>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</si>
  <si>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</si>
  <si>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</si>
  <si>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</si>
  <si>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</si>
  <si>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</si>
  <si>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</si>
  <si>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</si>
  <si>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</si>
  <si>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</si>
  <si>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</si>
  <si>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</si>
  <si>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</si>
  <si>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</si>
  <si>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</si>
  <si>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</si>
  <si>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</si>
  <si>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</si>
  <si>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</si>
  <si>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</si>
  <si>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</si>
  <si>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</si>
  <si>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</si>
  <si>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</si>
  <si>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</si>
  <si>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</si>
  <si>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</si>
  <si>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</si>
  <si>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</si>
  <si>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</si>
  <si>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</si>
  <si>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</si>
  <si>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</si>
  <si>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</si>
  <si>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</si>
  <si>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</si>
  <si>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</si>
  <si>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</si>
  <si>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</si>
  <si>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</si>
  <si>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</si>
  <si>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</si>
  <si>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</si>
  <si>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</si>
  <si>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</si>
  <si>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</si>
  <si>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</si>
  <si>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</si>
  <si>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</si>
  <si>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</si>
  <si>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</si>
  <si>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</si>
  <si>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</si>
  <si>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</si>
  <si>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</si>
  <si>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</si>
  <si>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</si>
  <si>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</si>
  <si>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</si>
  <si>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</si>
  <si>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</si>
  <si>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</si>
  <si>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</si>
  <si>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</si>
  <si>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</si>
  <si>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</si>
  <si>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</si>
  <si>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</si>
  <si>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</si>
  <si>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</si>
  <si>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</si>
  <si>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</si>
  <si>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</si>
  <si>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</si>
  <si>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</si>
  <si>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</si>
  <si>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</si>
  <si>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</si>
  <si>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</si>
  <si>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</si>
  <si>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</si>
  <si>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</si>
  <si>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</si>
  <si>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</si>
  <si>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</si>
  <si>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</si>
  <si>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</si>
  <si>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</si>
  <si>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</si>
  <si>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</si>
  <si>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</si>
  <si>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</si>
  <si>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</si>
  <si>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</si>
  <si>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</si>
  <si>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</si>
  <si>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</si>
  <si>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</si>
  <si>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</si>
  <si>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</si>
  <si>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</si>
  <si>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</si>
  <si>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</si>
  <si>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</si>
  <si>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</si>
  <si>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</si>
  <si>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</si>
  <si>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</si>
  <si>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</si>
  <si>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</si>
  <si>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</si>
  <si>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</si>
  <si>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</si>
  <si>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</si>
  <si>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</si>
  <si>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</si>
  <si>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</si>
  <si>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</si>
  <si>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</si>
  <si>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</si>
  <si>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</si>
  <si>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</si>
  <si>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</si>
  <si>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</si>
  <si>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</si>
  <si>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</si>
  <si>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</si>
  <si>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</si>
  <si>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</si>
  <si>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</si>
  <si>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</si>
  <si>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</si>
  <si>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</si>
  <si>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</si>
  <si>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</si>
  <si>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</si>
  <si>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</si>
  <si>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</si>
  <si>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</si>
  <si>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</si>
  <si>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</si>
  <si>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</si>
  <si>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</si>
  <si>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</si>
  <si>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</si>
  <si>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</si>
  <si>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</si>
  <si>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</si>
  <si>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</si>
  <si>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</si>
  <si>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</si>
  <si>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</si>
  <si>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</si>
  <si>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</si>
  <si>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</si>
  <si>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</si>
  <si>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</si>
  <si>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</si>
  <si>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</si>
  <si>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</si>
  <si>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</si>
  <si>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</si>
  <si>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</si>
  <si>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</si>
  <si>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</si>
  <si>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</si>
  <si>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</si>
  <si>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</si>
  <si>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</si>
  <si>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</si>
  <si>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</si>
  <si>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</si>
  <si>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</si>
  <si>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</si>
  <si>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</si>
  <si>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</si>
  <si>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</si>
  <si>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</si>
  <si>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</si>
  <si>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</si>
  <si>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</si>
  <si>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</si>
  <si>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</si>
  <si>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</si>
  <si>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</si>
  <si>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</si>
  <si>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</si>
  <si>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</si>
  <si>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</si>
  <si>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</si>
  <si>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</si>
  <si>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</si>
  <si>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</si>
  <si>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</si>
  <si>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</si>
  <si>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</si>
  <si>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</si>
  <si>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</si>
  <si>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</si>
  <si>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</si>
  <si>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</si>
  <si>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</si>
  <si>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</si>
  <si>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</si>
  <si>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</si>
  <si>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</si>
  <si>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</si>
  <si>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</si>
  <si>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</si>
  <si>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</si>
  <si>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</si>
  <si>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</si>
  <si>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</si>
  <si>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</si>
  <si>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</si>
  <si>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</si>
  <si>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</si>
  <si>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</si>
  <si>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</si>
  <si>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</si>
  <si>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</si>
  <si>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</si>
  <si>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</si>
  <si>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</si>
  <si>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</si>
  <si>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</si>
  <si>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</si>
  <si>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</si>
  <si>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</si>
  <si>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</si>
  <si>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</si>
  <si>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</si>
  <si>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</si>
  <si>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</si>
  <si>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</si>
  <si>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</si>
  <si>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</si>
  <si>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</si>
  <si>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</si>
  <si>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</si>
  <si>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</si>
  <si>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</si>
  <si>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</si>
  <si>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</si>
  <si>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</si>
  <si>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</si>
  <si>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</si>
  <si>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</si>
  <si>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</si>
  <si>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</si>
  <si>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</si>
  <si>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</si>
  <si>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</si>
  <si>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</si>
  <si>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</si>
  <si>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</si>
  <si>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</si>
  <si>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</si>
  <si>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</si>
  <si>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</si>
  <si>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</si>
  <si>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</si>
  <si>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</si>
  <si>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</si>
  <si>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</si>
  <si>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</si>
  <si>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</si>
  <si>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</si>
  <si>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</si>
  <si>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</si>
  <si>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</si>
  <si>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</si>
  <si>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</si>
  <si>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</si>
  <si>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</si>
  <si>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</si>
  <si>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</si>
  <si>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</si>
  <si>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</si>
  <si>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</si>
  <si>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</si>
  <si>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</si>
  <si>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</si>
  <si>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</si>
  <si>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</si>
  <si>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</si>
  <si>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</si>
  <si>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</si>
  <si>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</si>
  <si>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</si>
  <si>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</si>
  <si>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</si>
  <si>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</si>
  <si>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</si>
  <si>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</si>
  <si>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</si>
  <si>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</si>
  <si>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</si>
  <si>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</si>
  <si>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</si>
  <si>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</si>
  <si>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</si>
  <si>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</si>
  <si>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</si>
  <si>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</si>
  <si>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</si>
  <si>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</si>
  <si>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</si>
  <si>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</si>
  <si>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</si>
  <si>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</si>
  <si>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</si>
  <si>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</si>
  <si>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</si>
  <si>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</si>
  <si>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</si>
  <si>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</si>
  <si>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</si>
  <si>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</si>
  <si>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</si>
  <si>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</si>
  <si>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</si>
  <si>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</si>
  <si>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</si>
  <si>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</si>
  <si>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</si>
  <si>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</si>
  <si>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</si>
  <si>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</si>
  <si>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</si>
  <si>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</si>
  <si>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</si>
  <si>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</si>
  <si>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</si>
  <si>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</si>
  <si>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</si>
  <si>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</si>
  <si>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</si>
  <si>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</si>
  <si>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</si>
  <si>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</si>
  <si>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</si>
  <si>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</si>
  <si>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</si>
  <si>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</si>
  <si>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</si>
  <si>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</si>
  <si>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</si>
  <si>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</si>
  <si>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</si>
  <si>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</si>
  <si>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</si>
  <si>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</si>
  <si>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</si>
  <si>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</si>
  <si>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</si>
  <si>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</si>
  <si>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</si>
  <si>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</si>
  <si>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</si>
  <si>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</si>
  <si>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</si>
  <si>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</si>
  <si>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</si>
  <si>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</si>
  <si>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</si>
  <si>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</si>
  <si>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</si>
  <si>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</si>
  <si>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</si>
  <si>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</si>
  <si>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e9b9ca21-1b8a-405b-8e43-237463209850</t>
  </si>
  <si>
    <t xml:space="preserve">01 </t>
  </si>
  <si>
    <t xml:space="preserve">0100047 </t>
  </si>
  <si>
    <t>979a68cc-bad4-4335-ab93-53f466f68c34</t>
  </si>
  <si>
    <t>d6fd39db-6c9c-d30e-ae24-d7d4596e9425</t>
  </si>
  <si>
    <t>c5dc4139-9bb5-4977-836d-3989421722fb</t>
  </si>
  <si>
    <t>4af78f2b-fccb-4116-a2a6-f0bbd38b5633</t>
  </si>
  <si>
    <t>46d229b0-33af-06a1-91ff-2267bca9ae56</t>
  </si>
  <si>
    <t>Painelaitteen määräaikaistarkastus</t>
  </si>
  <si>
    <t>pending</t>
  </si>
  <si>
    <t>fi</t>
  </si>
  <si>
    <t>1f0df78609e8d2c5212fc6456fff00eb</t>
  </si>
  <si>
    <t>2025-05-05 16:32:05</t>
  </si>
  <si>
    <t>2025-03-27 15:41:17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</si>
  <si>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</si>
  <si>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</si>
  <si>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</si>
  <si>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</si>
  <si>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</si>
  <si>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</si>
  <si>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</si>
  <si>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</si>
  <si>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2025-05-05 15:39:45</t>
  </si>
  <si>
    <t xml:space="preserve">0000-00-00 00:00:00 </t>
  </si>
  <si>
    <t>2025-05-05</t>
  </si>
  <si>
    <t>qweqweqe</t>
  </si>
  <si>
    <t>A-10001</t>
  </si>
  <si>
    <t>12178278-346e-4b67-901a-89edb81e4bc5</t>
  </si>
  <si>
    <t>2024-09-26</t>
  </si>
  <si>
    <t xml:space="preserve">0100024 </t>
  </si>
  <si>
    <t>2025-03-05</t>
  </si>
  <si>
    <t>2222-12-12</t>
  </si>
  <si>
    <t>2023-06-19</t>
  </si>
  <si>
    <t xml:space="preserve">2022-04-13=1
2023-01-18 = 2
2023-01-18 = 3
2023-01-18 = 4
2023-06-19 = 5
</t>
  </si>
  <si>
    <t>f25fd55f-75e4-ff8c-bd54-a710ec8d7d7e</t>
  </si>
  <si>
    <t>0efa46da-4865-4945-8432-59742a091041</t>
  </si>
  <si>
    <t>78d78b3e-b610-48b0-a3e4-4c4bd54d2191</t>
  </si>
  <si>
    <t>SFS-EN 145372</t>
  </si>
  <si>
    <t>S341</t>
  </si>
  <si>
    <t>Tuotantohalli</t>
  </si>
  <si>
    <t>Erittäin pitkä Tuotetestaajankatu 3001, 21000 NOORMARKKU</t>
  </si>
  <si>
    <t>Erittäin pitkä Tuotetestaajankatu 3001</t>
  </si>
  <si>
    <t>NOORMARKKU</t>
  </si>
  <si>
    <t>Painesäiliö</t>
  </si>
  <si>
    <t>Autoklaavi</t>
  </si>
  <si>
    <t>Sähkö</t>
  </si>
  <si>
    <t>ILMA, PURISTETTU</t>
  </si>
  <si>
    <t xml:space="preserve">0000-00-00 </t>
  </si>
  <si>
    <t>2025-03-05 14:22:24</t>
  </si>
  <si>
    <t>2022-02-25 13:21:17</t>
  </si>
  <si>
    <t>Erityinen tila</t>
  </si>
  <si>
    <t>Riittävä asiantuntemus</t>
  </si>
  <si>
    <t>DI/ins. Kattilalaitoksen käytön valvojana</t>
  </si>
  <si>
    <t>IV-luokan laite (PED)</t>
  </si>
  <si>
    <t>Möttönen Oy</t>
  </si>
  <si>
    <t>2022-02-25 08:32:53</t>
  </si>
  <si>
    <t>8851303-7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</si>
  <si>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</si>
  <si>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</si>
  <si>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</si>
  <si>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</si>
  <si>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</si>
  <si>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</si>
  <si>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</si>
  <si>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</si>
  <si>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2025-03-13</t>
  </si>
  <si>
    <t>Mikko Testaaja</t>
  </si>
  <si>
    <t xml:space="preserve">Mikko </t>
  </si>
  <si>
    <t>Testaaja</t>
  </si>
  <si>
    <t>ASD</t>
  </si>
  <si>
    <t>2023-03-22 05:00:23</t>
  </si>
  <si>
    <t>2024-08-13 04:48:14</t>
  </si>
  <si>
    <t>employer</t>
  </si>
  <si>
    <t>Tero  Testaaja</t>
  </si>
  <si>
    <t xml:space="preserve">Tero </t>
  </si>
  <si>
    <t>TTX</t>
  </si>
  <si>
    <t>testiasiakas@insteam.fi</t>
  </si>
  <si>
    <t>Poikkeuslupa</t>
  </si>
  <si>
    <t>Nestekaasun käytönvalvojan pätevyys</t>
  </si>
  <si>
    <t>Maakaasuputkiston käytönvalvoja</t>
  </si>
  <si>
    <t>Helsinki</t>
  </si>
  <si>
    <t>2022-03-17 13:42:01</t>
  </si>
  <si>
    <t>2024-09-25 05:18:44</t>
  </si>
  <si>
    <t>Hyvä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</si>
</sst>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Relationship Id="rId8" Type="http://schemas.openxmlformats.org/officeDocument/2006/relationships/image" Target="../media/77f1331d8101d8c281f9fb51efec8d7a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7553325" cy="10687050"/>
    <xdr:pic>
      <xdr:nvPicPr>
        <xdr:cNvPr id="8" name="SheetBackground" descr="Taustakuva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0100047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5.5.2025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>
        <f>device.running_number</f>
        <v>5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>Erittäin pitkä Tuotetestaajankatu 3001, 21000 NOORMARKKU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>
        <f>device.manufacturing_number</f>
        <v>12367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>S341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Painesäiliö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>Tuotantohalli</v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 t="str">
        <f>device._company_owner.name</f>
        <v>Möttönen Oy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 t="str">
        <f>device._company_holder.name</f>
        <v>Möttönen Oy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 t="str">
        <f>device._company_owner.street_post</f>
        <v>Möttöskatu 12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 t="str">
        <f>device._company_holder.street_post</f>
        <v>Möttöskatu 12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02100  Säkylä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02100  Säkylä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 t="str">
        <f>device._person_supervisor.name</f>
        <v>Mikko Testaaja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 t="str">
        <f>device._person_supervisor_alt.name</f>
        <v>Tero  Testaaja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>DI/ins. Kattilalaitoksen käytön valvojana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>Riittävä asiantuntemus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>Omistaja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>Omistaja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Kyllä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5.5.2025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Hyvä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5.5.2025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qweqweqe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0100047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5.5.2025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>
        <f>device.running_number</f>
        <v>5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>Erittäin pitkä Tuotetestaajankatu 3001, 21000 NOORMARKKU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>
        <f>device.manufacturing_number</f>
        <v>12367</v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2022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Painesäiliö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>Autoklaavi</v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2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4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8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Erityinen tila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>
        <f>device.ps_state1_max</f>
        <v>12</v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>
        <f>device.ts_state1_max</f>
        <v>250</v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>
        <f>device.v_state1</f>
        <v>15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>ILMA, PURISTETTU</v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0100047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5.5.2025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>
        <f>device.running_number</f>
        <v>5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>Erittäin pitkä Tuotetestaajankatu 3001, 21000 NOORMARKKU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>
        <f>device.manufacturing_number</f>
        <v>12367</v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2022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Painesäiliö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>Autoklaavi</v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>Sähkö</v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2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4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8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Erityinen tila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>
        <f>device.ps_state1_max</f>
        <v>12</v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>
        <f>device.ts_state1_max</f>
        <v>250</v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>
        <f>device.v_state1</f>
        <v>15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>ILMA, PURISTETTU</v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0100047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5.5.2025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>
        <f>device.running_number</f>
        <v>5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0100047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5.5.2025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>
        <f>device.running_number</f>
        <v>5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0100047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5.5.2025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>
        <f>device.running_number</f>
        <v>5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0100047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5.5.2025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>
        <f>device.running_number</f>
        <v>5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0100047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5.5.2025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>
        <f>device.running_number</f>
        <v>5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0100047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5.5.2025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>
        <f>device.running_number</f>
        <v>5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0100047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5.5.2025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>
        <f>device.running_number</f>
        <v>5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0100047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5.5.2025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>
        <f>device.running_number</f>
        <v>5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0100047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5.5.2025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>
        <f>device.running_number</f>
        <v>5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0100047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5.5.2025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>
        <f>device.running_number</f>
        <v>5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0100047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5.5.2025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>
        <f>device.running_number</f>
        <v>5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0100047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5.5.2025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>
        <f>device.running_number</f>
        <v>5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0100047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5.5.2025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>
        <f>device.running_number</f>
        <v>5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e9b9ca21-1b8a-405b-8e43-237463209850</v>
      </c>
      <c r="E2" t="s">
        <v>152</v>
      </c>
    </row>
    <row r="3" spans="1:6">
      <c r="A3" t="s">
        <v>153</v>
      </c>
      <c r="C3">
        <f>form.aindex</f>
        <v>47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0100047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 t="str">
        <f>form.company</f>
        <v>c5dc4139-9bb5-4977-836d-3989421722fb</v>
      </c>
      <c r="E11" t="s">
        <v>152</v>
      </c>
    </row>
    <row r="12" spans="1:6">
      <c r="A12" t="s">
        <v>162</v>
      </c>
      <c r="C12" t="str">
        <f>form.device</f>
        <v>4af78f2b-fccb-4116-a2a6-f0bbd38b5633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1f0df78609e8d2c5212fc6456fff00eb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2025-05-05 16:32:05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2025-05-05 16:32:05</v>
      </c>
      <c r="E27" t="s">
        <v>152</v>
      </c>
    </row>
    <row r="28" spans="1:6">
      <c r="A28" t="s">
        <v>178</v>
      </c>
      <c r="C28" t="str">
        <f>form.UpdateTimeTemplate</f>
        <v>2025-03-27 15:41:17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2025-05-05 15:39:45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2025-05-05 15:39:45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e9b9ca21-1b8a-405b-8e43-237463209850</v>
      </c>
      <c r="E137" t="s">
        <v>152</v>
      </c>
    </row>
    <row r="138" spans="1:6">
      <c r="A138" t="s">
        <v>153</v>
      </c>
      <c r="B138">
        <v>47</v>
      </c>
      <c r="C138">
        <f>form.aindex</f>
        <v>47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0100047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 t="s">
        <v>1521</v>
      </c>
      <c r="C146" t="str">
        <f>form.company</f>
        <v>c5dc4139-9bb5-4977-836d-3989421722fb</v>
      </c>
      <c r="E146" t="s">
        <v>152</v>
      </c>
    </row>
    <row r="147" spans="1:6">
      <c r="A147" t="s">
        <v>162</v>
      </c>
      <c r="B147" t="s">
        <v>1522</v>
      </c>
      <c r="C147" t="str">
        <f>form.device</f>
        <v>4af78f2b-fccb-4116-a2a6-f0bbd38b5633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1523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1523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1524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1525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1526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1527</v>
      </c>
      <c r="C158" t="str">
        <f>form.content_md5</f>
        <v>1f0df78609e8d2c5212fc6456fff00eb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1528</v>
      </c>
      <c r="C160" t="str">
        <f>form.InsertTime</f>
        <v>2025-05-05 16:32:05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1528</v>
      </c>
      <c r="C162" t="str">
        <f>form.UpdateTimeReport</f>
        <v>2025-05-05 16:32:05</v>
      </c>
      <c r="E162" t="s">
        <v>152</v>
      </c>
    </row>
    <row r="163" spans="1:6">
      <c r="A163" t="s">
        <v>178</v>
      </c>
      <c r="B163" t="s">
        <v>1529</v>
      </c>
      <c r="C163" t="str">
        <f>form.UpdateTimeTemplate</f>
        <v>2025-03-27 15:41:17</v>
      </c>
      <c r="E163" t="s">
        <v>152</v>
      </c>
    </row>
    <row r="164" spans="1:6">
      <c r="A164" t="s">
        <v>179</v>
      </c>
      <c r="B164" t="s">
        <v>1530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1531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1532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1532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1532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1532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1532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1533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1532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1523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1534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1535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1536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1537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1538</v>
      </c>
      <c r="C196" t="str">
        <f>form._employer_create.UpdateTime</f>
        <v>2025-05-05 15:39:45</v>
      </c>
      <c r="E196" t="s">
        <v>152</v>
      </c>
    </row>
    <row r="197" spans="1:6">
      <c r="A197" t="s">
        <v>212</v>
      </c>
      <c r="B197" t="s">
        <v>1539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1532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1532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1526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1523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1534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1535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1536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1537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1538</v>
      </c>
      <c r="C240" t="str">
        <f>form._employer_update.UpdateTime</f>
        <v>2025-05-05 15:39:45</v>
      </c>
      <c r="E240" t="s">
        <v>152</v>
      </c>
    </row>
    <row r="241" spans="1:6">
      <c r="A241" t="s">
        <v>256</v>
      </c>
      <c r="B241" t="s">
        <v>1539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1532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1532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1526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1522</v>
      </c>
      <c r="C272" t="str">
        <f>device.uuid</f>
        <v>4af78f2b-fccb-4116-a2a6-f0bbd38b5633</v>
      </c>
      <c r="E272" t="s">
        <v>288</v>
      </c>
    </row>
    <row r="273" spans="1:6">
      <c r="A273" t="s">
        <v>289</v>
      </c>
      <c r="B273">
        <v>34401</v>
      </c>
      <c r="C273">
        <f>device.aindex</f>
        <v>34401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 t="s">
        <v>1542</v>
      </c>
      <c r="C275" t="str">
        <f>device.reg_prev</f>
        <v>A-10001</v>
      </c>
      <c r="E275" t="s">
        <v>288</v>
      </c>
    </row>
    <row r="276" spans="1:6">
      <c r="A276" t="s">
        <v>292</v>
      </c>
      <c r="B276">
        <v>1</v>
      </c>
      <c r="C276">
        <f>device.reg_unavailable</f>
        <v>1</v>
      </c>
      <c r="E276" t="s">
        <v>288</v>
      </c>
    </row>
    <row r="277" spans="1:6">
      <c r="A277" t="s">
        <v>293</v>
      </c>
      <c r="B277" t="s">
        <v>1543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1523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/>
      <c r="C279" t="str">
        <f>device.title</f>
        <v/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1544</v>
      </c>
      <c r="C281" t="str">
        <f>device.EditDate</f>
        <v>2024-09-26</v>
      </c>
      <c r="E281" t="s">
        <v>288</v>
      </c>
    </row>
    <row r="282" spans="1:6">
      <c r="A282" t="s">
        <v>298</v>
      </c>
      <c r="B282">
        <v>50</v>
      </c>
      <c r="C282">
        <f>device.version</f>
        <v>50</v>
      </c>
      <c r="E282" t="s">
        <v>288</v>
      </c>
    </row>
    <row r="283" spans="1:6">
      <c r="A283" t="s">
        <v>299</v>
      </c>
      <c r="B283" t="s">
        <v>1545</v>
      </c>
      <c r="C283" t="str">
        <f>device.certificate_latest_int</f>
        <v>0100024 </v>
      </c>
      <c r="E283" t="s">
        <v>288</v>
      </c>
    </row>
    <row r="284" spans="1:6">
      <c r="A284" t="s">
        <v>300</v>
      </c>
      <c r="B284" t="s">
        <v>1532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1532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1532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1532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1532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1532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1532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1532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1532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1546</v>
      </c>
      <c r="C293" t="str">
        <f>device.inspection_date_latest</f>
        <v>2025-03-05</v>
      </c>
      <c r="E293" t="s">
        <v>288</v>
      </c>
    </row>
    <row r="294" spans="1:6">
      <c r="A294" t="s">
        <v>310</v>
      </c>
      <c r="B294" t="s">
        <v>1547</v>
      </c>
      <c r="C294" t="str">
        <f>device.inspection_date_next</f>
        <v>2222-12-12</v>
      </c>
      <c r="E294" t="s">
        <v>288</v>
      </c>
    </row>
    <row r="295" spans="1:6">
      <c r="A295" t="s">
        <v>311</v>
      </c>
      <c r="B295">
        <v>5</v>
      </c>
      <c r="C295">
        <f>device.running_number</f>
        <v>5</v>
      </c>
      <c r="E295" t="s">
        <v>288</v>
      </c>
    </row>
    <row r="296" spans="1:6">
      <c r="A296" t="s">
        <v>312</v>
      </c>
      <c r="B296" t="s">
        <v>1548</v>
      </c>
      <c r="C296" t="str">
        <f>device.running_number_changed</f>
        <v>2023-06-19</v>
      </c>
      <c r="E296" t="s">
        <v>288</v>
      </c>
    </row>
    <row r="297" spans="1:6">
      <c r="A297" t="s">
        <v>313</v>
      </c>
      <c r="B297" t="s">
        <v>1549</v>
      </c>
      <c r="C297" t="str">
        <f>device.running_number_history</f>
        <v>2022-04-13=1
2023-01-18 = 2
2023-01-18 = 3
2023-01-18 = 4
2023-06-19 = 5
</v>
      </c>
      <c r="E297" t="s">
        <v>288</v>
      </c>
    </row>
    <row r="298" spans="1:6">
      <c r="A298" t="s">
        <v>314</v>
      </c>
      <c r="B298" t="s">
        <v>1521</v>
      </c>
      <c r="C298" t="str">
        <f>device.company_owner</f>
        <v>c5dc4139-9bb5-4977-836d-3989421722fb</v>
      </c>
      <c r="E298" t="s">
        <v>288</v>
      </c>
    </row>
    <row r="299" spans="1:6">
      <c r="A299" t="s">
        <v>315</v>
      </c>
      <c r="B299" t="s">
        <v>1521</v>
      </c>
      <c r="C299" t="str">
        <f>device.company_holder</f>
        <v>c5dc4139-9bb5-4977-836d-3989421722fb</v>
      </c>
      <c r="E299" t="s">
        <v>288</v>
      </c>
    </row>
    <row r="300" spans="1:6">
      <c r="A300" t="s">
        <v>316</v>
      </c>
      <c r="B300" t="s">
        <v>1550</v>
      </c>
      <c r="C300" t="str">
        <f>device.company_manufacturer</f>
        <v>f25fd55f-75e4-ff8c-bd54-a710ec8d7d7e</v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 t="s">
        <v>1551</v>
      </c>
      <c r="C303" t="str">
        <f>device.person_supervisor</f>
        <v>0efa46da-4865-4945-8432-59742a091041</v>
      </c>
      <c r="E303" t="s">
        <v>288</v>
      </c>
    </row>
    <row r="304" spans="1:6">
      <c r="A304" t="s">
        <v>320</v>
      </c>
      <c r="B304" t="s">
        <v>1552</v>
      </c>
      <c r="C304" t="str">
        <f>device.person_supervisor_alt</f>
        <v>78d78b3e-b610-48b0-a3e4-4c4bd54d2191</v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2022</v>
      </c>
      <c r="C307">
        <f>device.manufacturing_year</f>
        <v>2022</v>
      </c>
      <c r="E307" t="s">
        <v>288</v>
      </c>
    </row>
    <row r="308" spans="1:6">
      <c r="A308" t="s">
        <v>324</v>
      </c>
      <c r="B308">
        <v>12367</v>
      </c>
      <c r="C308">
        <f>device.manufacturing_number</f>
        <v>12367</v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 t="s">
        <v>1553</v>
      </c>
      <c r="C310" t="str">
        <f>device.manufacturing_standard</f>
        <v>SFS-EN 145372</v>
      </c>
      <c r="E310" t="s">
        <v>288</v>
      </c>
    </row>
    <row r="311" spans="1:6">
      <c r="A311" t="s">
        <v>327</v>
      </c>
      <c r="B311" t="s">
        <v>1554</v>
      </c>
      <c r="C311" t="str">
        <f>device.location_device</f>
        <v>S341</v>
      </c>
      <c r="E311" t="s">
        <v>288</v>
      </c>
    </row>
    <row r="312" spans="1:6">
      <c r="A312" t="s">
        <v>328</v>
      </c>
      <c r="B312" t="s">
        <v>1555</v>
      </c>
      <c r="C312" t="str">
        <f>device.location_description</f>
        <v>Tuotantohalli</v>
      </c>
      <c r="E312" t="s">
        <v>288</v>
      </c>
    </row>
    <row r="313" spans="1:6">
      <c r="A313" t="s">
        <v>329</v>
      </c>
      <c r="B313" t="s">
        <v>1556</v>
      </c>
      <c r="C313" t="str">
        <f>device.location_address</f>
        <v>Erittäin pitkä Tuotetestaajankatu 3001, 21000 NOORMARKKU</v>
      </c>
      <c r="E313" t="s">
        <v>288</v>
      </c>
    </row>
    <row r="314" spans="1:6">
      <c r="A314" t="s">
        <v>330</v>
      </c>
      <c r="B314" t="s">
        <v>1557</v>
      </c>
      <c r="C314" t="str">
        <f>device.location_street</f>
        <v>Erittäin pitkä Tuotetestaajankatu 3001</v>
      </c>
      <c r="E314" t="s">
        <v>288</v>
      </c>
    </row>
    <row r="315" spans="1:6">
      <c r="A315" t="s">
        <v>331</v>
      </c>
      <c r="B315">
        <v>21000</v>
      </c>
      <c r="C315">
        <f>device.location_zip_code</f>
        <v>21000</v>
      </c>
      <c r="E315" t="s">
        <v>288</v>
      </c>
    </row>
    <row r="316" spans="1:6">
      <c r="A316" t="s">
        <v>332</v>
      </c>
      <c r="B316" t="s">
        <v>1558</v>
      </c>
      <c r="C316" t="str">
        <f>device.location_city</f>
        <v>NOORMARKKU</v>
      </c>
      <c r="E316" t="s">
        <v>288</v>
      </c>
    </row>
    <row r="317" spans="1:6">
      <c r="A317" t="s">
        <v>333</v>
      </c>
      <c r="B317" t="s">
        <v>1532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1559</v>
      </c>
      <c r="C318" t="str">
        <f>device.category_description</f>
        <v>Painesäiliö</v>
      </c>
      <c r="E318" t="s">
        <v>288</v>
      </c>
    </row>
    <row r="319" spans="1:6">
      <c r="A319" t="s">
        <v>335</v>
      </c>
      <c r="B319">
        <v>25</v>
      </c>
      <c r="C319">
        <f>device.subcategory_code</f>
        <v>25</v>
      </c>
      <c r="E319" t="s">
        <v>288</v>
      </c>
    </row>
    <row r="320" spans="1:6">
      <c r="A320" t="s">
        <v>336</v>
      </c>
      <c r="B320" t="s">
        <v>1560</v>
      </c>
      <c r="C320" t="str">
        <f>device.subcategory_description</f>
        <v>Autoklaavi</v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1532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1532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1532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1532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1532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>
        <v>8</v>
      </c>
      <c r="C333">
        <f>device.primary_fuel_code</f>
        <v>8</v>
      </c>
      <c r="E333" t="s">
        <v>288</v>
      </c>
    </row>
    <row r="334" spans="1:6">
      <c r="A334" t="s">
        <v>350</v>
      </c>
      <c r="B334" t="s">
        <v>1561</v>
      </c>
      <c r="C334" t="str">
        <f>device.primary_fuel</f>
        <v>Sähkö</v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>
        <v>12</v>
      </c>
      <c r="C336">
        <f>device.ps_state1_max</f>
        <v>12</v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>
        <v>250</v>
      </c>
      <c r="C342">
        <f>device.ts_state1_max</f>
        <v>250</v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>
        <v>15</v>
      </c>
      <c r="C347">
        <f>device.v_state1</f>
        <v>15</v>
      </c>
      <c r="E347" t="s">
        <v>288</v>
      </c>
    </row>
    <row r="348" spans="1:6">
      <c r="A348" t="s">
        <v>364</v>
      </c>
      <c r="B348" t="s">
        <v>1532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1532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/>
      <c r="C352" t="str">
        <f>device.content_primary_subtitle</f>
        <v/>
      </c>
      <c r="E352" t="s">
        <v>288</v>
      </c>
    </row>
    <row r="353" spans="1:6">
      <c r="A353" t="s">
        <v>369</v>
      </c>
      <c r="B353" t="s">
        <v>1532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>
        <v>1002</v>
      </c>
      <c r="C354">
        <f>device.content_state1</f>
        <v>1002</v>
      </c>
      <c r="E354" t="s">
        <v>288</v>
      </c>
    </row>
    <row r="355" spans="1:6">
      <c r="A355" t="s">
        <v>371</v>
      </c>
      <c r="B355" t="s">
        <v>1562</v>
      </c>
      <c r="C355" t="str">
        <f>device.content_state1_title</f>
        <v>ILMA, PURISTETTU</v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1532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1532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1532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1563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1563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1563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1563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1563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1563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1563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1563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1563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1563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1532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1532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1532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1532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1532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1532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>
        <v>2</v>
      </c>
      <c r="C382">
        <f>device.cycle_usage_inspection</f>
        <v>2</v>
      </c>
      <c r="E382" t="s">
        <v>288</v>
      </c>
    </row>
    <row r="383" spans="1:6">
      <c r="A383" t="s">
        <v>399</v>
      </c>
      <c r="B383">
        <v>8</v>
      </c>
      <c r="C383">
        <f>device.cycle_scheduled_pressure</f>
        <v>8</v>
      </c>
      <c r="E383" t="s">
        <v>288</v>
      </c>
    </row>
    <row r="384" spans="1:6">
      <c r="A384" t="s">
        <v>400</v>
      </c>
      <c r="B384">
        <v>4</v>
      </c>
      <c r="C384">
        <f>device.cycle_inside_inspection</f>
        <v>4</v>
      </c>
      <c r="E384" t="s">
        <v>288</v>
      </c>
    </row>
    <row r="385" spans="1:6">
      <c r="A385" t="s">
        <v>401</v>
      </c>
      <c r="B385" t="s">
        <v>1564</v>
      </c>
      <c r="C385" t="str">
        <f>device.UpdateTime</f>
        <v>2025-03-05 14:22:24</v>
      </c>
      <c r="E385" t="s">
        <v>288</v>
      </c>
    </row>
    <row r="386" spans="1:6">
      <c r="A386" t="s">
        <v>402</v>
      </c>
      <c r="B386" t="s">
        <v>1565</v>
      </c>
      <c r="C386" t="str">
        <f>device.InsertTime</f>
        <v>2022-02-25 13:21:17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1532</v>
      </c>
      <c r="C388" t="str">
        <f>device.orbeon_imported</f>
        <v>0 </v>
      </c>
      <c r="E388" t="s">
        <v>288</v>
      </c>
    </row>
    <row r="389" spans="1:6">
      <c r="A389" t="s">
        <v>405</v>
      </c>
      <c r="B389" t="s">
        <v>1566</v>
      </c>
      <c r="C389" t="str">
        <f>device.title_state1</f>
        <v>Erityinen tila</v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1532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1532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1532</v>
      </c>
      <c r="C397" t="str">
        <f>device.dn_state3</f>
        <v>0 </v>
      </c>
      <c r="E397" t="s">
        <v>288</v>
      </c>
    </row>
    <row r="398" spans="1:6">
      <c r="A398" t="s">
        <v>414</v>
      </c>
      <c r="B398" t="s">
        <v>10</v>
      </c>
      <c r="C398" t="str">
        <f>device.person_supervisor_role</f>
        <v>Omistaja</v>
      </c>
      <c r="E398" t="s">
        <v>288</v>
      </c>
    </row>
    <row r="399" spans="1:6">
      <c r="A399" t="s">
        <v>415</v>
      </c>
      <c r="B399">
        <v>1</v>
      </c>
      <c r="C399">
        <f>device.person_supervisor_role_code</f>
        <v>1</v>
      </c>
      <c r="E399" t="s">
        <v>288</v>
      </c>
    </row>
    <row r="400" spans="1:6">
      <c r="A400" t="s">
        <v>416</v>
      </c>
      <c r="B400" t="s">
        <v>10</v>
      </c>
      <c r="C400" t="str">
        <f>device.person_supervisor_alt_role</f>
        <v>Omistaja</v>
      </c>
      <c r="E400" t="s">
        <v>288</v>
      </c>
    </row>
    <row r="401" spans="1:6">
      <c r="A401" t="s">
        <v>417</v>
      </c>
      <c r="B401">
        <v>1</v>
      </c>
      <c r="C401">
        <f>device.person_supervisor_alt_role_code</f>
        <v>1</v>
      </c>
      <c r="E401" t="s">
        <v>288</v>
      </c>
    </row>
    <row r="402" spans="1:6">
      <c r="A402" t="s">
        <v>418</v>
      </c>
      <c r="B402" t="s">
        <v>1567</v>
      </c>
      <c r="C402" t="str">
        <f>device.person_supervisor_alt_qualification</f>
        <v>Riittävä asiantuntemus</v>
      </c>
      <c r="E402" t="s">
        <v>288</v>
      </c>
    </row>
    <row r="403" spans="1:6">
      <c r="A403" t="s">
        <v>419</v>
      </c>
      <c r="B403" t="s">
        <v>1532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 t="s">
        <v>1568</v>
      </c>
      <c r="C404" t="str">
        <f>device.person_supervisor_qualification</f>
        <v>DI/ins. Kattilalaitoksen käytön valvojana</v>
      </c>
      <c r="E404" t="s">
        <v>288</v>
      </c>
    </row>
    <row r="405" spans="1:6">
      <c r="A405" t="s">
        <v>421</v>
      </c>
      <c r="B405">
        <v>6</v>
      </c>
      <c r="C405">
        <f>device.person_supervisor_qualification_code</f>
        <v>6</v>
      </c>
      <c r="E405" t="s">
        <v>288</v>
      </c>
    </row>
    <row r="406" spans="1:6">
      <c r="A406" t="s">
        <v>422</v>
      </c>
      <c r="B406" t="s">
        <v>1532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1532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1532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 t="s">
        <v>1569</v>
      </c>
      <c r="C410" t="str">
        <f>device.class_description</f>
        <v>IV-luokan laite (PED)</v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>
        <v>5</v>
      </c>
      <c r="C412">
        <f>device.running_number_static</f>
        <v>5</v>
      </c>
      <c r="E412" t="s">
        <v>288</v>
      </c>
    </row>
    <row r="413" spans="1:6">
      <c r="A413" t="s">
        <v>429</v>
      </c>
      <c r="B413" t="s">
        <v>1532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B516" t="s">
        <v>1521</v>
      </c>
      <c r="C516" t="str">
        <f>device._company_owner.uuid</f>
        <v>c5dc4139-9bb5-4977-836d-3989421722fb</v>
      </c>
      <c r="E516" t="s">
        <v>288</v>
      </c>
    </row>
    <row r="517" spans="1:6">
      <c r="A517" t="s">
        <v>533</v>
      </c>
      <c r="B517">
        <v>10553</v>
      </c>
      <c r="C517">
        <f>device._company_owner.aindex</f>
        <v>10553</v>
      </c>
      <c r="E517" t="s">
        <v>288</v>
      </c>
    </row>
    <row r="518" spans="1:6">
      <c r="A518" t="s">
        <v>534</v>
      </c>
      <c r="B518" t="s">
        <v>1570</v>
      </c>
      <c r="C518" t="str">
        <f>device._company_owner.name</f>
        <v>Möttönen Oy</v>
      </c>
      <c r="E518" t="s">
        <v>288</v>
      </c>
    </row>
    <row r="519" spans="1:6">
      <c r="A519" t="s">
        <v>535</v>
      </c>
      <c r="B519">
        <v>1</v>
      </c>
      <c r="C519">
        <f>device._company_owner.enabled</f>
        <v>1</v>
      </c>
      <c r="E519" t="s">
        <v>288</v>
      </c>
    </row>
    <row r="520" spans="1:6">
      <c r="A520" t="s">
        <v>536</v>
      </c>
      <c r="B520" t="s">
        <v>1532</v>
      </c>
      <c r="C520" t="str">
        <f>device._company_owner.migrated</f>
        <v>0 </v>
      </c>
      <c r="E520" t="s">
        <v>288</v>
      </c>
    </row>
    <row r="521" spans="1:6">
      <c r="A521" t="s">
        <v>537</v>
      </c>
      <c r="B521"/>
      <c r="C521" t="str">
        <f>device._company_owner.migration</f>
        <v/>
      </c>
      <c r="E521" t="s">
        <v>288</v>
      </c>
    </row>
    <row r="522" spans="1:6">
      <c r="A522" t="s">
        <v>538</v>
      </c>
      <c r="B522"/>
      <c r="C522" t="str">
        <f>device._company_owner.migration_target</f>
        <v/>
      </c>
      <c r="E522" t="s">
        <v>288</v>
      </c>
    </row>
    <row r="523" spans="1:6">
      <c r="A523" t="s">
        <v>539</v>
      </c>
      <c r="B523" t="s">
        <v>1571</v>
      </c>
      <c r="C523" t="str">
        <f>device._company_owner.StartTime</f>
        <v>2022-02-25 08:32:53</v>
      </c>
      <c r="E523" t="s">
        <v>288</v>
      </c>
    </row>
    <row r="524" spans="1:6">
      <c r="A524" t="s">
        <v>540</v>
      </c>
      <c r="B524" t="s">
        <v>1572</v>
      </c>
      <c r="C524" t="str">
        <f>device._company_owner.business_id</f>
        <v>8851303-7</v>
      </c>
      <c r="E524" t="s">
        <v>288</v>
      </c>
    </row>
    <row r="525" spans="1:6">
      <c r="A525" t="s">
        <v>541</v>
      </c>
      <c r="B525">
        <v>7</v>
      </c>
      <c r="C525">
        <f>device._company_owner.business_id_check</f>
        <v>7</v>
      </c>
      <c r="E525" t="s">
        <v>288</v>
      </c>
    </row>
    <row r="526" spans="1:6">
      <c r="A526" t="s">
        <v>542</v>
      </c>
      <c r="B526" t="s">
        <v>1573</v>
      </c>
      <c r="C526" t="str">
        <f>device._company_owner.UpdateTime</f>
        <v>2024-12-13 06:00:01</v>
      </c>
      <c r="E526" t="s">
        <v>288</v>
      </c>
    </row>
    <row r="527" spans="1:6">
      <c r="A527" t="s">
        <v>543</v>
      </c>
      <c r="B527"/>
      <c r="C527" t="str">
        <f>device._company_owner.datasource</f>
        <v/>
      </c>
      <c r="E527" t="s">
        <v>288</v>
      </c>
    </row>
    <row r="528" spans="1:6">
      <c r="A528" t="s">
        <v>544</v>
      </c>
      <c r="B528" t="s">
        <v>1574</v>
      </c>
      <c r="C528" t="str">
        <f>device._company_owner.street_post</f>
        <v>Möttöskatu 12</v>
      </c>
      <c r="E528" t="s">
        <v>288</v>
      </c>
    </row>
    <row r="529" spans="1:6">
      <c r="A529" t="s">
        <v>545</v>
      </c>
      <c r="B529" t="s">
        <v>1575</v>
      </c>
      <c r="C529" t="str">
        <f>device._company_owner.zip_code_visit</f>
        <v>02100 </v>
      </c>
      <c r="E529" t="s">
        <v>288</v>
      </c>
    </row>
    <row r="530" spans="1:6">
      <c r="A530" t="s">
        <v>546</v>
      </c>
      <c r="B530" t="s">
        <v>1576</v>
      </c>
      <c r="C530" t="str">
        <f>device._company_owner.city_visit</f>
        <v>Säkylä</v>
      </c>
      <c r="E530" t="s">
        <v>288</v>
      </c>
    </row>
    <row r="531" spans="1:6">
      <c r="A531" t="s">
        <v>547</v>
      </c>
      <c r="B531" t="s">
        <v>1575</v>
      </c>
      <c r="C531" t="str">
        <f>device._company_owner.zip_code</f>
        <v>02100 </v>
      </c>
      <c r="E531" t="s">
        <v>288</v>
      </c>
    </row>
    <row r="532" spans="1:6">
      <c r="A532" t="s">
        <v>548</v>
      </c>
      <c r="B532" t="s">
        <v>1576</v>
      </c>
      <c r="C532" t="str">
        <f>device._company_owner.city</f>
        <v>Säkylä</v>
      </c>
      <c r="E532" t="s">
        <v>288</v>
      </c>
    </row>
    <row r="533" spans="1:6">
      <c r="A533" t="s">
        <v>549</v>
      </c>
      <c r="B533"/>
      <c r="C533" t="str">
        <f>device._company_owner.address_visit</f>
        <v/>
      </c>
      <c r="E533" t="s">
        <v>288</v>
      </c>
    </row>
    <row r="534" spans="1:6">
      <c r="A534" t="s">
        <v>550</v>
      </c>
      <c r="B534" t="s">
        <v>1577</v>
      </c>
      <c r="C534" t="str">
        <f>device._company_owner.street_visit</f>
        <v>Tuotekatu 1</v>
      </c>
      <c r="E534" t="s">
        <v>288</v>
      </c>
    </row>
    <row r="535" spans="1:6">
      <c r="A535" t="s">
        <v>551</v>
      </c>
      <c r="B535"/>
      <c r="C535" t="str">
        <f>device._company_owner.notes</f>
        <v/>
      </c>
      <c r="E535" t="s">
        <v>288</v>
      </c>
    </row>
    <row r="536" spans="1:6">
      <c r="A536" t="s">
        <v>552</v>
      </c>
      <c r="B536" t="s">
        <v>1578</v>
      </c>
      <c r="C536" t="str">
        <f>device._company_owner.state</f>
        <v>active</v>
      </c>
      <c r="E536" t="s">
        <v>288</v>
      </c>
    </row>
    <row r="537" spans="1:6">
      <c r="A537" t="s">
        <v>553</v>
      </c>
      <c r="B537" t="s">
        <v>1579</v>
      </c>
      <c r="C537" t="str">
        <f>device._company_owner.email</f>
        <v>info@vodera.fi</v>
      </c>
      <c r="E537" t="s">
        <v>288</v>
      </c>
    </row>
    <row r="538" spans="1:6">
      <c r="A538" t="s">
        <v>554</v>
      </c>
      <c r="B538" t="s">
        <v>1532</v>
      </c>
      <c r="C538" t="str">
        <f>device._company_owner.customer_value</f>
        <v>0 </v>
      </c>
      <c r="E538" t="s">
        <v>288</v>
      </c>
    </row>
    <row r="539" spans="1:6">
      <c r="A539" t="s">
        <v>555</v>
      </c>
      <c r="B539" t="s">
        <v>1532</v>
      </c>
      <c r="C539" t="str">
        <f>device._company_owner.area_uusimaa</f>
        <v>0 </v>
      </c>
      <c r="E539" t="s">
        <v>288</v>
      </c>
    </row>
    <row r="540" spans="1:6">
      <c r="A540" t="s">
        <v>556</v>
      </c>
      <c r="B540">
        <v>1</v>
      </c>
      <c r="C540">
        <f>device._company_owner.area_varsinais</f>
        <v>1</v>
      </c>
      <c r="E540" t="s">
        <v>288</v>
      </c>
    </row>
    <row r="541" spans="1:6">
      <c r="A541" t="s">
        <v>557</v>
      </c>
      <c r="B541" t="s">
        <v>1532</v>
      </c>
      <c r="C541" t="str">
        <f>device._company_owner.area_kymenlaakso</f>
        <v>0 </v>
      </c>
      <c r="E541" t="s">
        <v>288</v>
      </c>
    </row>
    <row r="542" spans="1:6">
      <c r="A542" t="s">
        <v>558</v>
      </c>
      <c r="B542" t="s">
        <v>1532</v>
      </c>
      <c r="C542" t="str">
        <f>device._company_owner.area_hame</f>
        <v>0 </v>
      </c>
      <c r="E542" t="s">
        <v>288</v>
      </c>
    </row>
    <row r="543" spans="1:6">
      <c r="A543" t="s">
        <v>559</v>
      </c>
      <c r="B543" t="s">
        <v>1532</v>
      </c>
      <c r="C543" t="str">
        <f>device._company_owner.area_satakunta</f>
        <v>0 </v>
      </c>
      <c r="E543" t="s">
        <v>288</v>
      </c>
    </row>
    <row r="544" spans="1:6">
      <c r="A544" t="s">
        <v>560</v>
      </c>
      <c r="B544" t="s">
        <v>1532</v>
      </c>
      <c r="C544" t="str">
        <f>device._company_owner.area_pohjanmaa</f>
        <v>0 </v>
      </c>
      <c r="E544" t="s">
        <v>288</v>
      </c>
    </row>
    <row r="545" spans="1:6">
      <c r="A545" t="s">
        <v>561</v>
      </c>
      <c r="B545" t="s">
        <v>1532</v>
      </c>
      <c r="C545" t="str">
        <f>device._company_owner.area_pohjois</f>
        <v>0 </v>
      </c>
      <c r="E545" t="s">
        <v>288</v>
      </c>
    </row>
    <row r="546" spans="1:6">
      <c r="A546" t="s">
        <v>562</v>
      </c>
      <c r="B546" t="s">
        <v>1532</v>
      </c>
      <c r="C546" t="str">
        <f>device._company_owner.area_lappi</f>
        <v>0 </v>
      </c>
      <c r="E546" t="s">
        <v>288</v>
      </c>
    </row>
    <row r="547" spans="1:6">
      <c r="A547" t="s">
        <v>563</v>
      </c>
      <c r="B547">
        <v>1</v>
      </c>
      <c r="C547">
        <f>device._company_owner.devgroup_paine</f>
        <v>1</v>
      </c>
      <c r="E547" t="s">
        <v>288</v>
      </c>
    </row>
    <row r="548" spans="1:6">
      <c r="A548" t="s">
        <v>564</v>
      </c>
      <c r="B548" t="s">
        <v>1532</v>
      </c>
      <c r="C548" t="str">
        <f>device._company_owner.devgroup_kemikaali</f>
        <v>0 </v>
      </c>
      <c r="E548" t="s">
        <v>288</v>
      </c>
    </row>
    <row r="549" spans="1:6">
      <c r="A549" t="s">
        <v>565</v>
      </c>
      <c r="B549" t="s">
        <v>1532</v>
      </c>
      <c r="C549" t="str">
        <f>device._company_owner.devgroup_nestekaasu</f>
        <v>0 </v>
      </c>
      <c r="E549" t="s">
        <v>288</v>
      </c>
    </row>
    <row r="550" spans="1:6">
      <c r="A550" t="s">
        <v>566</v>
      </c>
      <c r="B550" t="s">
        <v>1532</v>
      </c>
      <c r="C550" t="str">
        <f>device._company_owner.devgroup_maakaasu</f>
        <v>0 </v>
      </c>
      <c r="E550" t="s">
        <v>288</v>
      </c>
    </row>
    <row r="551" spans="1:6">
      <c r="A551" t="s">
        <v>567</v>
      </c>
      <c r="B551" t="s">
        <v>1532</v>
      </c>
      <c r="C551" t="str">
        <f>device._company_owner.devgroup_biokaasu</f>
        <v>0 </v>
      </c>
      <c r="E551" t="s">
        <v>288</v>
      </c>
    </row>
    <row r="552" spans="1:6">
      <c r="A552" t="s">
        <v>568</v>
      </c>
      <c r="B552" t="s">
        <v>1532</v>
      </c>
      <c r="C552" t="str">
        <f>device._company_owner.devgroup_vakadr</f>
        <v>0 </v>
      </c>
      <c r="E552" t="s">
        <v>288</v>
      </c>
    </row>
    <row r="553" spans="1:6">
      <c r="A553" t="s">
        <v>569</v>
      </c>
      <c r="B553" t="s">
        <v>1532</v>
      </c>
      <c r="C553" t="str">
        <f>device._company_owner.devgroup_a2</f>
        <v>0 </v>
      </c>
      <c r="E553" t="s">
        <v>288</v>
      </c>
    </row>
    <row r="554" spans="1:6">
      <c r="A554" t="s">
        <v>570</v>
      </c>
      <c r="B554" t="s">
        <v>1532</v>
      </c>
      <c r="C554" t="str">
        <f>device._company_owner.devgroup_g</f>
        <v>0 </v>
      </c>
      <c r="E554" t="s">
        <v>288</v>
      </c>
    </row>
    <row r="555" spans="1:6">
      <c r="A555" t="s">
        <v>571</v>
      </c>
      <c r="B555" t="s">
        <v>1532</v>
      </c>
      <c r="C555" t="str">
        <f>device._company_owner.devgroup_other</f>
        <v>0 </v>
      </c>
      <c r="E555" t="s">
        <v>288</v>
      </c>
    </row>
    <row r="556" spans="1:6">
      <c r="A556" t="s">
        <v>572</v>
      </c>
      <c r="B556" t="s">
        <v>1532</v>
      </c>
      <c r="C556" t="str">
        <f>device._company_owner.role_manufacturer</f>
        <v>0 </v>
      </c>
      <c r="E556" t="s">
        <v>288</v>
      </c>
    </row>
    <row r="557" spans="1:6">
      <c r="A557" t="s">
        <v>573</v>
      </c>
      <c r="B557" t="s">
        <v>1532</v>
      </c>
      <c r="C557" t="str">
        <f>device._company_owner.role_energyplant</f>
        <v>0 </v>
      </c>
      <c r="E557" t="s">
        <v>288</v>
      </c>
    </row>
    <row r="558" spans="1:6">
      <c r="A558" t="s">
        <v>574</v>
      </c>
      <c r="B558" t="s">
        <v>1532</v>
      </c>
      <c r="C558" t="str">
        <f>device._company_owner.role_government</f>
        <v>0 </v>
      </c>
      <c r="E558" t="s">
        <v>288</v>
      </c>
    </row>
    <row r="559" spans="1:6">
      <c r="A559" t="s">
        <v>575</v>
      </c>
      <c r="B559">
        <v>1</v>
      </c>
      <c r="C559">
        <f>device._company_owner.role_processplant</f>
        <v>1</v>
      </c>
      <c r="E559" t="s">
        <v>288</v>
      </c>
    </row>
    <row r="560" spans="1:6">
      <c r="A560" t="s">
        <v>576</v>
      </c>
      <c r="B560" t="s">
        <v>1532</v>
      </c>
      <c r="C560" t="str">
        <f>device._company_owner.role_transport</f>
        <v>0 </v>
      </c>
      <c r="E560" t="s">
        <v>288</v>
      </c>
    </row>
    <row r="561" spans="1:6">
      <c r="A561" t="s">
        <v>577</v>
      </c>
      <c r="B561" t="s">
        <v>1580</v>
      </c>
      <c r="C561" t="str">
        <f>device._company_owner.inspection_institution</f>
        <v>admitted</v>
      </c>
      <c r="E561" t="s">
        <v>288</v>
      </c>
    </row>
    <row r="562" spans="1:6">
      <c r="A562" t="s">
        <v>578</v>
      </c>
      <c r="B562" t="s">
        <v>1581</v>
      </c>
      <c r="C562" t="str">
        <f>device._company_owner.inspection_date_next</f>
        <v>2025-03-13</v>
      </c>
      <c r="E562" t="s">
        <v>288</v>
      </c>
    </row>
    <row r="563" spans="1:6">
      <c r="A563" t="s">
        <v>579</v>
      </c>
      <c r="B563">
        <v>1</v>
      </c>
      <c r="C563">
        <f>device._company_owner.inspection_overdue_count</f>
        <v>1</v>
      </c>
      <c r="E563" t="s">
        <v>288</v>
      </c>
    </row>
    <row r="564" spans="1:6">
      <c r="A564" t="s">
        <v>580</v>
      </c>
      <c r="B564">
        <v>1</v>
      </c>
      <c r="C564">
        <f>device._company_owner.inspection_upcoming_count</f>
        <v>1</v>
      </c>
      <c r="E564" t="s">
        <v>288</v>
      </c>
    </row>
    <row r="565" spans="1:6">
      <c r="A565" t="s">
        <v>581</v>
      </c>
      <c r="B565">
        <v>1</v>
      </c>
      <c r="C565">
        <f>device._company_owner.inspection_soon_count</f>
        <v>1</v>
      </c>
      <c r="E565" t="s">
        <v>288</v>
      </c>
    </row>
    <row r="566" spans="1:6">
      <c r="A566" t="s">
        <v>582</v>
      </c>
      <c r="B566">
        <v>1</v>
      </c>
      <c r="C566">
        <f>device._company_owner.ped_licence</f>
        <v>1</v>
      </c>
      <c r="E566" t="s">
        <v>288</v>
      </c>
    </row>
    <row r="567" spans="1:6">
      <c r="A567" t="s">
        <v>583</v>
      </c>
      <c r="B567" t="s">
        <v>1521</v>
      </c>
      <c r="C567" t="str">
        <f>device._company_holder.uuid</f>
        <v>c5dc4139-9bb5-4977-836d-3989421722fb</v>
      </c>
      <c r="E567" t="s">
        <v>288</v>
      </c>
    </row>
    <row r="568" spans="1:6">
      <c r="A568" t="s">
        <v>584</v>
      </c>
      <c r="B568">
        <v>10553</v>
      </c>
      <c r="C568">
        <f>device._company_holder.aindex</f>
        <v>10553</v>
      </c>
      <c r="E568" t="s">
        <v>288</v>
      </c>
    </row>
    <row r="569" spans="1:6">
      <c r="A569" t="s">
        <v>585</v>
      </c>
      <c r="B569" t="s">
        <v>1570</v>
      </c>
      <c r="C569" t="str">
        <f>device._company_holder.name</f>
        <v>Möttönen Oy</v>
      </c>
      <c r="E569" t="s">
        <v>288</v>
      </c>
    </row>
    <row r="570" spans="1:6">
      <c r="A570" t="s">
        <v>586</v>
      </c>
      <c r="B570">
        <v>1</v>
      </c>
      <c r="C570">
        <f>device._company_holder.enabled</f>
        <v>1</v>
      </c>
      <c r="E570" t="s">
        <v>288</v>
      </c>
    </row>
    <row r="571" spans="1:6">
      <c r="A571" t="s">
        <v>587</v>
      </c>
      <c r="B571" t="s">
        <v>1532</v>
      </c>
      <c r="C571" t="str">
        <f>device._company_holder.migrated</f>
        <v>0 </v>
      </c>
      <c r="E571" t="s">
        <v>288</v>
      </c>
    </row>
    <row r="572" spans="1:6">
      <c r="A572" t="s">
        <v>588</v>
      </c>
      <c r="B572"/>
      <c r="C572" t="str">
        <f>device._company_holder.migration</f>
        <v/>
      </c>
      <c r="E572" t="s">
        <v>288</v>
      </c>
    </row>
    <row r="573" spans="1:6">
      <c r="A573" t="s">
        <v>589</v>
      </c>
      <c r="B573"/>
      <c r="C573" t="str">
        <f>device._company_holder.migration_target</f>
        <v/>
      </c>
      <c r="E573" t="s">
        <v>288</v>
      </c>
    </row>
    <row r="574" spans="1:6">
      <c r="A574" t="s">
        <v>590</v>
      </c>
      <c r="B574" t="s">
        <v>1571</v>
      </c>
      <c r="C574" t="str">
        <f>device._company_holder.StartTime</f>
        <v>2022-02-25 08:32:53</v>
      </c>
      <c r="E574" t="s">
        <v>288</v>
      </c>
    </row>
    <row r="575" spans="1:6">
      <c r="A575" t="s">
        <v>591</v>
      </c>
      <c r="B575" t="s">
        <v>1572</v>
      </c>
      <c r="C575" t="str">
        <f>device._company_holder.business_id</f>
        <v>8851303-7</v>
      </c>
      <c r="E575" t="s">
        <v>288</v>
      </c>
    </row>
    <row r="576" spans="1:6">
      <c r="A576" t="s">
        <v>592</v>
      </c>
      <c r="B576">
        <v>7</v>
      </c>
      <c r="C576">
        <f>device._company_holder.business_id_check</f>
        <v>7</v>
      </c>
      <c r="E576" t="s">
        <v>288</v>
      </c>
    </row>
    <row r="577" spans="1:6">
      <c r="A577" t="s">
        <v>593</v>
      </c>
      <c r="B577" t="s">
        <v>1573</v>
      </c>
      <c r="C577" t="str">
        <f>device._company_holder.UpdateTime</f>
        <v>2024-12-13 06:00:01</v>
      </c>
      <c r="E577" t="s">
        <v>288</v>
      </c>
    </row>
    <row r="578" spans="1:6">
      <c r="A578" t="s">
        <v>594</v>
      </c>
      <c r="B578"/>
      <c r="C578" t="str">
        <f>device._company_holder.datasource</f>
        <v/>
      </c>
      <c r="E578" t="s">
        <v>288</v>
      </c>
    </row>
    <row r="579" spans="1:6">
      <c r="A579" t="s">
        <v>595</v>
      </c>
      <c r="B579" t="s">
        <v>1574</v>
      </c>
      <c r="C579" t="str">
        <f>device._company_holder.street_post</f>
        <v>Möttöskatu 12</v>
      </c>
      <c r="E579" t="s">
        <v>288</v>
      </c>
    </row>
    <row r="580" spans="1:6">
      <c r="A580" t="s">
        <v>596</v>
      </c>
      <c r="B580" t="s">
        <v>1575</v>
      </c>
      <c r="C580" t="str">
        <f>device._company_holder.zip_code_visit</f>
        <v>02100 </v>
      </c>
      <c r="E580" t="s">
        <v>288</v>
      </c>
    </row>
    <row r="581" spans="1:6">
      <c r="A581" t="s">
        <v>597</v>
      </c>
      <c r="B581" t="s">
        <v>1576</v>
      </c>
      <c r="C581" t="str">
        <f>device._company_holder.city_visit</f>
        <v>Säkylä</v>
      </c>
      <c r="E581" t="s">
        <v>288</v>
      </c>
    </row>
    <row r="582" spans="1:6">
      <c r="A582" t="s">
        <v>598</v>
      </c>
      <c r="B582" t="s">
        <v>1575</v>
      </c>
      <c r="C582" t="str">
        <f>device._company_holder.zip_code</f>
        <v>02100 </v>
      </c>
      <c r="E582" t="s">
        <v>288</v>
      </c>
    </row>
    <row r="583" spans="1:6">
      <c r="A583" t="s">
        <v>599</v>
      </c>
      <c r="B583" t="s">
        <v>1576</v>
      </c>
      <c r="C583" t="str">
        <f>device._company_holder.city</f>
        <v>Säkylä</v>
      </c>
      <c r="E583" t="s">
        <v>288</v>
      </c>
    </row>
    <row r="584" spans="1:6">
      <c r="A584" t="s">
        <v>600</v>
      </c>
      <c r="B584"/>
      <c r="C584" t="str">
        <f>device._company_holder.address_visit</f>
        <v/>
      </c>
      <c r="E584" t="s">
        <v>288</v>
      </c>
    </row>
    <row r="585" spans="1:6">
      <c r="A585" t="s">
        <v>601</v>
      </c>
      <c r="B585" t="s">
        <v>1577</v>
      </c>
      <c r="C585" t="str">
        <f>device._company_holder.street_visit</f>
        <v>Tuotekatu 1</v>
      </c>
      <c r="E585" t="s">
        <v>288</v>
      </c>
    </row>
    <row r="586" spans="1:6">
      <c r="A586" t="s">
        <v>602</v>
      </c>
      <c r="B586"/>
      <c r="C586" t="str">
        <f>device._company_holder.notes</f>
        <v/>
      </c>
      <c r="E586" t="s">
        <v>288</v>
      </c>
    </row>
    <row r="587" spans="1:6">
      <c r="A587" t="s">
        <v>603</v>
      </c>
      <c r="B587" t="s">
        <v>1578</v>
      </c>
      <c r="C587" t="str">
        <f>device._company_holder.state</f>
        <v>active</v>
      </c>
      <c r="E587" t="s">
        <v>288</v>
      </c>
    </row>
    <row r="588" spans="1:6">
      <c r="A588" t="s">
        <v>604</v>
      </c>
      <c r="B588" t="s">
        <v>1579</v>
      </c>
      <c r="C588" t="str">
        <f>device._company_holder.email</f>
        <v>info@vodera.fi</v>
      </c>
      <c r="E588" t="s">
        <v>288</v>
      </c>
    </row>
    <row r="589" spans="1:6">
      <c r="A589" t="s">
        <v>605</v>
      </c>
      <c r="B589" t="s">
        <v>1532</v>
      </c>
      <c r="C589" t="str">
        <f>device._company_holder.customer_value</f>
        <v>0 </v>
      </c>
      <c r="E589" t="s">
        <v>288</v>
      </c>
    </row>
    <row r="590" spans="1:6">
      <c r="A590" t="s">
        <v>606</v>
      </c>
      <c r="B590" t="s">
        <v>1532</v>
      </c>
      <c r="C590" t="str">
        <f>device._company_holder.area_uusimaa</f>
        <v>0 </v>
      </c>
      <c r="E590" t="s">
        <v>288</v>
      </c>
    </row>
    <row r="591" spans="1:6">
      <c r="A591" t="s">
        <v>607</v>
      </c>
      <c r="B591">
        <v>1</v>
      </c>
      <c r="C591">
        <f>device._company_holder.area_varsinais</f>
        <v>1</v>
      </c>
      <c r="E591" t="s">
        <v>288</v>
      </c>
    </row>
    <row r="592" spans="1:6">
      <c r="A592" t="s">
        <v>608</v>
      </c>
      <c r="B592" t="s">
        <v>1532</v>
      </c>
      <c r="C592" t="str">
        <f>device._company_holder.area_kymenlaakso</f>
        <v>0 </v>
      </c>
      <c r="E592" t="s">
        <v>288</v>
      </c>
    </row>
    <row r="593" spans="1:6">
      <c r="A593" t="s">
        <v>609</v>
      </c>
      <c r="B593" t="s">
        <v>1532</v>
      </c>
      <c r="C593" t="str">
        <f>device._company_holder.area_hame</f>
        <v>0 </v>
      </c>
      <c r="E593" t="s">
        <v>288</v>
      </c>
    </row>
    <row r="594" spans="1:6">
      <c r="A594" t="s">
        <v>610</v>
      </c>
      <c r="B594" t="s">
        <v>1532</v>
      </c>
      <c r="C594" t="str">
        <f>device._company_holder.area_satakunta</f>
        <v>0 </v>
      </c>
      <c r="E594" t="s">
        <v>288</v>
      </c>
    </row>
    <row r="595" spans="1:6">
      <c r="A595" t="s">
        <v>611</v>
      </c>
      <c r="B595" t="s">
        <v>1532</v>
      </c>
      <c r="C595" t="str">
        <f>device._company_holder.area_pohjanmaa</f>
        <v>0 </v>
      </c>
      <c r="E595" t="s">
        <v>288</v>
      </c>
    </row>
    <row r="596" spans="1:6">
      <c r="A596" t="s">
        <v>612</v>
      </c>
      <c r="B596" t="s">
        <v>1532</v>
      </c>
      <c r="C596" t="str">
        <f>device._company_holder.area_pohjois</f>
        <v>0 </v>
      </c>
      <c r="E596" t="s">
        <v>288</v>
      </c>
    </row>
    <row r="597" spans="1:6">
      <c r="A597" t="s">
        <v>613</v>
      </c>
      <c r="B597" t="s">
        <v>1532</v>
      </c>
      <c r="C597" t="str">
        <f>device._company_holder.area_lappi</f>
        <v>0 </v>
      </c>
      <c r="E597" t="s">
        <v>288</v>
      </c>
    </row>
    <row r="598" spans="1:6">
      <c r="A598" t="s">
        <v>614</v>
      </c>
      <c r="B598">
        <v>1</v>
      </c>
      <c r="C598">
        <f>device._company_holder.devgroup_paine</f>
        <v>1</v>
      </c>
      <c r="E598" t="s">
        <v>288</v>
      </c>
    </row>
    <row r="599" spans="1:6">
      <c r="A599" t="s">
        <v>615</v>
      </c>
      <c r="B599" t="s">
        <v>1532</v>
      </c>
      <c r="C599" t="str">
        <f>device._company_holder.devgroup_kemikaali</f>
        <v>0 </v>
      </c>
      <c r="E599" t="s">
        <v>288</v>
      </c>
    </row>
    <row r="600" spans="1:6">
      <c r="A600" t="s">
        <v>616</v>
      </c>
      <c r="B600" t="s">
        <v>1532</v>
      </c>
      <c r="C600" t="str">
        <f>device._company_holder.devgroup_nestekaasu</f>
        <v>0 </v>
      </c>
      <c r="E600" t="s">
        <v>288</v>
      </c>
    </row>
    <row r="601" spans="1:6">
      <c r="A601" t="s">
        <v>617</v>
      </c>
      <c r="B601" t="s">
        <v>1532</v>
      </c>
      <c r="C601" t="str">
        <f>device._company_holder.devgroup_maakaasu</f>
        <v>0 </v>
      </c>
      <c r="E601" t="s">
        <v>288</v>
      </c>
    </row>
    <row r="602" spans="1:6">
      <c r="A602" t="s">
        <v>618</v>
      </c>
      <c r="B602" t="s">
        <v>1532</v>
      </c>
      <c r="C602" t="str">
        <f>device._company_holder.devgroup_biokaasu</f>
        <v>0 </v>
      </c>
      <c r="E602" t="s">
        <v>288</v>
      </c>
    </row>
    <row r="603" spans="1:6">
      <c r="A603" t="s">
        <v>619</v>
      </c>
      <c r="B603" t="s">
        <v>1532</v>
      </c>
      <c r="C603" t="str">
        <f>device._company_holder.devgroup_vakadr</f>
        <v>0 </v>
      </c>
      <c r="E603" t="s">
        <v>288</v>
      </c>
    </row>
    <row r="604" spans="1:6">
      <c r="A604" t="s">
        <v>620</v>
      </c>
      <c r="B604" t="s">
        <v>1532</v>
      </c>
      <c r="C604" t="str">
        <f>device._company_holder.devgroup_a2</f>
        <v>0 </v>
      </c>
      <c r="E604" t="s">
        <v>288</v>
      </c>
    </row>
    <row r="605" spans="1:6">
      <c r="A605" t="s">
        <v>621</v>
      </c>
      <c r="B605" t="s">
        <v>1532</v>
      </c>
      <c r="C605" t="str">
        <f>device._company_holder.devgroup_g</f>
        <v>0 </v>
      </c>
      <c r="E605" t="s">
        <v>288</v>
      </c>
    </row>
    <row r="606" spans="1:6">
      <c r="A606" t="s">
        <v>622</v>
      </c>
      <c r="B606" t="s">
        <v>1532</v>
      </c>
      <c r="C606" t="str">
        <f>device._company_holder.devgroup_other</f>
        <v>0 </v>
      </c>
      <c r="E606" t="s">
        <v>288</v>
      </c>
    </row>
    <row r="607" spans="1:6">
      <c r="A607" t="s">
        <v>623</v>
      </c>
      <c r="B607" t="s">
        <v>1532</v>
      </c>
      <c r="C607" t="str">
        <f>device._company_holder.role_manufacturer</f>
        <v>0 </v>
      </c>
      <c r="E607" t="s">
        <v>288</v>
      </c>
    </row>
    <row r="608" spans="1:6">
      <c r="A608" t="s">
        <v>624</v>
      </c>
      <c r="B608" t="s">
        <v>1532</v>
      </c>
      <c r="C608" t="str">
        <f>device._company_holder.role_energyplant</f>
        <v>0 </v>
      </c>
      <c r="E608" t="s">
        <v>288</v>
      </c>
    </row>
    <row r="609" spans="1:6">
      <c r="A609" t="s">
        <v>625</v>
      </c>
      <c r="B609" t="s">
        <v>1532</v>
      </c>
      <c r="C609" t="str">
        <f>device._company_holder.role_government</f>
        <v>0 </v>
      </c>
      <c r="E609" t="s">
        <v>288</v>
      </c>
    </row>
    <row r="610" spans="1:6">
      <c r="A610" t="s">
        <v>626</v>
      </c>
      <c r="B610">
        <v>1</v>
      </c>
      <c r="C610">
        <f>device._company_holder.role_processplant</f>
        <v>1</v>
      </c>
      <c r="E610" t="s">
        <v>288</v>
      </c>
    </row>
    <row r="611" spans="1:6">
      <c r="A611" t="s">
        <v>627</v>
      </c>
      <c r="B611" t="s">
        <v>1532</v>
      </c>
      <c r="C611" t="str">
        <f>device._company_holder.role_transport</f>
        <v>0 </v>
      </c>
      <c r="E611" t="s">
        <v>288</v>
      </c>
    </row>
    <row r="612" spans="1:6">
      <c r="A612" t="s">
        <v>628</v>
      </c>
      <c r="B612" t="s">
        <v>1580</v>
      </c>
      <c r="C612" t="str">
        <f>device._company_holder.inspection_institution</f>
        <v>admitted</v>
      </c>
      <c r="E612" t="s">
        <v>288</v>
      </c>
    </row>
    <row r="613" spans="1:6">
      <c r="A613" t="s">
        <v>629</v>
      </c>
      <c r="B613" t="s">
        <v>1581</v>
      </c>
      <c r="C613" t="str">
        <f>device._company_holder.inspection_date_next</f>
        <v>2025-03-13</v>
      </c>
      <c r="E613" t="s">
        <v>288</v>
      </c>
    </row>
    <row r="614" spans="1:6">
      <c r="A614" t="s">
        <v>630</v>
      </c>
      <c r="B614">
        <v>1</v>
      </c>
      <c r="C614">
        <f>device._company_holder.inspection_overdue_count</f>
        <v>1</v>
      </c>
      <c r="E614" t="s">
        <v>288</v>
      </c>
    </row>
    <row r="615" spans="1:6">
      <c r="A615" t="s">
        <v>631</v>
      </c>
      <c r="B615">
        <v>1</v>
      </c>
      <c r="C615">
        <f>device._company_holder.inspection_upcoming_count</f>
        <v>1</v>
      </c>
      <c r="E615" t="s">
        <v>288</v>
      </c>
    </row>
    <row r="616" spans="1:6">
      <c r="A616" t="s">
        <v>632</v>
      </c>
      <c r="B616">
        <v>1</v>
      </c>
      <c r="C616">
        <f>device._company_holder.inspection_soon_count</f>
        <v>1</v>
      </c>
      <c r="E616" t="s">
        <v>288</v>
      </c>
    </row>
    <row r="617" spans="1:6">
      <c r="A617" t="s">
        <v>633</v>
      </c>
      <c r="B617">
        <v>1</v>
      </c>
      <c r="C617">
        <f>device._company_holder.ped_licence</f>
        <v>1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B706" t="s">
        <v>1551</v>
      </c>
      <c r="C706" t="str">
        <f>device._person_supervisor.uuid</f>
        <v>0efa46da-4865-4945-8432-59742a091041</v>
      </c>
      <c r="E706" t="s">
        <v>288</v>
      </c>
    </row>
    <row r="707" spans="1:6">
      <c r="A707" t="s">
        <v>723</v>
      </c>
      <c r="B707">
        <v>20907</v>
      </c>
      <c r="C707">
        <f>device._person_supervisor.aindex</f>
        <v>20907</v>
      </c>
      <c r="E707" t="s">
        <v>288</v>
      </c>
    </row>
    <row r="708" spans="1:6">
      <c r="A708" t="s">
        <v>724</v>
      </c>
      <c r="B708"/>
      <c r="C708" t="str">
        <f>device._person_supervisor.company</f>
        <v/>
      </c>
      <c r="E708" t="s">
        <v>288</v>
      </c>
    </row>
    <row r="709" spans="1:6">
      <c r="A709" t="s">
        <v>725</v>
      </c>
      <c r="B709"/>
      <c r="C709" t="str">
        <f>device._person_supervisor.migration</f>
        <v/>
      </c>
      <c r="E709" t="s">
        <v>288</v>
      </c>
    </row>
    <row r="710" spans="1:6">
      <c r="A710" t="s">
        <v>726</v>
      </c>
      <c r="B710"/>
      <c r="C710" t="str">
        <f>device._person_supervisor.migration_target</f>
        <v/>
      </c>
      <c r="E710" t="s">
        <v>288</v>
      </c>
    </row>
    <row r="711" spans="1:6">
      <c r="A711" t="s">
        <v>727</v>
      </c>
      <c r="B711"/>
      <c r="C711" t="str">
        <f>device._person_supervisor.company_role</f>
        <v/>
      </c>
      <c r="E711" t="s">
        <v>288</v>
      </c>
    </row>
    <row r="712" spans="1:6">
      <c r="A712" t="s">
        <v>728</v>
      </c>
      <c r="B712" t="s">
        <v>1582</v>
      </c>
      <c r="C712" t="str">
        <f>device._person_supervisor.name</f>
        <v>Mikko Testaaja</v>
      </c>
      <c r="E712" t="s">
        <v>288</v>
      </c>
    </row>
    <row r="713" spans="1:6">
      <c r="A713" t="s">
        <v>729</v>
      </c>
      <c r="B713" t="s">
        <v>1583</v>
      </c>
      <c r="C713" t="str">
        <f>device._person_supervisor.firstname</f>
        <v>Mikko </v>
      </c>
      <c r="E713" t="s">
        <v>288</v>
      </c>
    </row>
    <row r="714" spans="1:6">
      <c r="A714" t="s">
        <v>730</v>
      </c>
      <c r="B714" t="s">
        <v>1584</v>
      </c>
      <c r="C714" t="str">
        <f>device._person_supervisor.surname</f>
        <v>Testaaja</v>
      </c>
      <c r="E714" t="s">
        <v>288</v>
      </c>
    </row>
    <row r="715" spans="1:6">
      <c r="A715" t="s">
        <v>731</v>
      </c>
      <c r="B715"/>
      <c r="C715" t="str">
        <f>device._person_supervisor.shorthand</f>
        <v/>
      </c>
      <c r="E715" t="s">
        <v>288</v>
      </c>
    </row>
    <row r="716" spans="1:6">
      <c r="A716" t="s">
        <v>732</v>
      </c>
      <c r="B716"/>
      <c r="C716" t="str">
        <f>device._person_supervisor.email</f>
        <v/>
      </c>
      <c r="E716" t="s">
        <v>288</v>
      </c>
    </row>
    <row r="717" spans="1:6">
      <c r="A717" t="s">
        <v>733</v>
      </c>
      <c r="B717">
        <v>358</v>
      </c>
      <c r="C717">
        <f>device._person_supervisor.phonenumber_cc</f>
        <v>358</v>
      </c>
      <c r="E717" t="s">
        <v>288</v>
      </c>
    </row>
    <row r="718" spans="1:6">
      <c r="A718" t="s">
        <v>734</v>
      </c>
      <c r="B718"/>
      <c r="C718" t="str">
        <f>device._person_supervisor.phonenumber</f>
        <v/>
      </c>
      <c r="E718" t="s">
        <v>288</v>
      </c>
    </row>
    <row r="719" spans="1:6">
      <c r="A719" t="s">
        <v>735</v>
      </c>
      <c r="B719"/>
      <c r="C719" t="str">
        <f>device._person_supervisor.jobtitle</f>
        <v/>
      </c>
      <c r="E719" t="s">
        <v>288</v>
      </c>
    </row>
    <row r="720" spans="1:6">
      <c r="A720" t="s">
        <v>736</v>
      </c>
      <c r="B720"/>
      <c r="C720" t="str">
        <f>device._person_supervisor.qualification</f>
        <v/>
      </c>
      <c r="E720" t="s">
        <v>288</v>
      </c>
    </row>
    <row r="721" spans="1:6">
      <c r="A721" t="s">
        <v>737</v>
      </c>
      <c r="B721" t="s">
        <v>1532</v>
      </c>
      <c r="C721" t="str">
        <f>device._person_supervisor.qualification_code</f>
        <v>0 </v>
      </c>
      <c r="E721" t="s">
        <v>288</v>
      </c>
    </row>
    <row r="722" spans="1:6">
      <c r="A722" t="s">
        <v>738</v>
      </c>
      <c r="B722"/>
      <c r="C722" t="str">
        <f>device._person_supervisor.qualification_lpg</f>
        <v/>
      </c>
      <c r="E722" t="s">
        <v>288</v>
      </c>
    </row>
    <row r="723" spans="1:6">
      <c r="A723" t="s">
        <v>739</v>
      </c>
      <c r="B723"/>
      <c r="C723" t="str">
        <f>device._person_supervisor.qualification_ngl</f>
        <v/>
      </c>
      <c r="E723" t="s">
        <v>288</v>
      </c>
    </row>
    <row r="724" spans="1:6">
      <c r="A724" t="s">
        <v>740</v>
      </c>
      <c r="B724"/>
      <c r="C724" t="str">
        <f>device._person_supervisor.notes</f>
        <v/>
      </c>
      <c r="E724" t="s">
        <v>288</v>
      </c>
    </row>
    <row r="725" spans="1:6">
      <c r="A725" t="s">
        <v>741</v>
      </c>
      <c r="B725"/>
      <c r="C725" t="str">
        <f>device._person_supervisor.role</f>
        <v/>
      </c>
      <c r="E725" t="s">
        <v>288</v>
      </c>
    </row>
    <row r="726" spans="1:6">
      <c r="A726" t="s">
        <v>742</v>
      </c>
      <c r="B726" t="s">
        <v>1532</v>
      </c>
      <c r="C726" t="str">
        <f>device._person_supervisor.role_code</f>
        <v>0 </v>
      </c>
      <c r="E726" t="s">
        <v>288</v>
      </c>
    </row>
    <row r="727" spans="1:6">
      <c r="A727" t="s">
        <v>743</v>
      </c>
      <c r="B727" t="s">
        <v>1585</v>
      </c>
      <c r="C727" t="str">
        <f>device._person_supervisor.delivery_address</f>
        <v>ASD</v>
      </c>
      <c r="E727" t="s">
        <v>288</v>
      </c>
    </row>
    <row r="728" spans="1:6">
      <c r="A728" t="s">
        <v>744</v>
      </c>
      <c r="B728" t="s">
        <v>1586</v>
      </c>
      <c r="C728" t="str">
        <f>device._person_supervisor.InsertTime</f>
        <v>2023-03-22 05:00:23</v>
      </c>
      <c r="E728" t="s">
        <v>288</v>
      </c>
    </row>
    <row r="729" spans="1:6">
      <c r="A729" t="s">
        <v>745</v>
      </c>
      <c r="B729" t="s">
        <v>1587</v>
      </c>
      <c r="C729" t="str">
        <f>device._person_supervisor.UpdateTime</f>
        <v>2024-08-13 04:48:14</v>
      </c>
      <c r="E729" t="s">
        <v>288</v>
      </c>
    </row>
    <row r="730" spans="1:6">
      <c r="A730" t="s">
        <v>746</v>
      </c>
      <c r="B730" t="s">
        <v>1532</v>
      </c>
      <c r="C730" t="str">
        <f>device._person_supervisor.migrated</f>
        <v>0 </v>
      </c>
      <c r="E730" t="s">
        <v>288</v>
      </c>
    </row>
    <row r="731" spans="1:6">
      <c r="A731" t="s">
        <v>747</v>
      </c>
      <c r="B731" t="s">
        <v>1532</v>
      </c>
      <c r="C731" t="str">
        <f>device._person_supervisor.competence_lpg_supervisor</f>
        <v>0 </v>
      </c>
      <c r="E731" t="s">
        <v>288</v>
      </c>
    </row>
    <row r="732" spans="1:6">
      <c r="A732" t="s">
        <v>748</v>
      </c>
      <c r="B732" t="s">
        <v>1532</v>
      </c>
      <c r="C732" t="str">
        <f>device._person_supervisor.competence_lpg_operator</f>
        <v>0 </v>
      </c>
      <c r="E732" t="s">
        <v>288</v>
      </c>
    </row>
    <row r="733" spans="1:6">
      <c r="A733" t="s">
        <v>749</v>
      </c>
      <c r="B733">
        <v>1</v>
      </c>
      <c r="C733">
        <f>device._person_supervisor.enabled</f>
        <v>1</v>
      </c>
      <c r="E733" t="s">
        <v>288</v>
      </c>
    </row>
    <row r="734" spans="1:6">
      <c r="A734" t="s">
        <v>750</v>
      </c>
      <c r="B734" t="s">
        <v>1563</v>
      </c>
      <c r="C734" t="str">
        <f>device._person_supervisor.birth_date</f>
        <v>0000-00-00 </v>
      </c>
      <c r="E734" t="s">
        <v>288</v>
      </c>
    </row>
    <row r="735" spans="1:6">
      <c r="A735" t="s">
        <v>751</v>
      </c>
      <c r="B735"/>
      <c r="C735" t="str">
        <f>device._person_supervisor.birth_place</f>
        <v/>
      </c>
      <c r="E735" t="s">
        <v>288</v>
      </c>
    </row>
    <row r="736" spans="1:6">
      <c r="A736" t="s">
        <v>752</v>
      </c>
      <c r="B736"/>
      <c r="C736" t="str">
        <f>device._person_supervisor.ssn_encrypted</f>
        <v/>
      </c>
      <c r="E736" t="s">
        <v>288</v>
      </c>
    </row>
    <row r="737" spans="1:6">
      <c r="A737" t="s">
        <v>753</v>
      </c>
      <c r="B737" t="s">
        <v>1526</v>
      </c>
      <c r="C737" t="str">
        <f>device._person_supervisor.lang</f>
        <v>fi</v>
      </c>
      <c r="E737" t="s">
        <v>288</v>
      </c>
    </row>
    <row r="738" spans="1:6">
      <c r="A738" t="s">
        <v>754</v>
      </c>
      <c r="B738" t="s">
        <v>1532</v>
      </c>
      <c r="C738" t="str">
        <f>device._person_supervisor.login_tarkes_app</f>
        <v>0 </v>
      </c>
      <c r="E738" t="s">
        <v>288</v>
      </c>
    </row>
    <row r="739" spans="1:6">
      <c r="A739" t="s">
        <v>755</v>
      </c>
      <c r="B739" t="s">
        <v>1532</v>
      </c>
      <c r="C739" t="str">
        <f>device._person_supervisor.login_inspektor_app</f>
        <v>0 </v>
      </c>
      <c r="E739" t="s">
        <v>288</v>
      </c>
    </row>
    <row r="740" spans="1:6">
      <c r="A740" t="s">
        <v>756</v>
      </c>
      <c r="B740" t="s">
        <v>1532</v>
      </c>
      <c r="C740" t="str">
        <f>device._person_supervisor.company_admin</f>
        <v>0 </v>
      </c>
      <c r="E740" t="s">
        <v>288</v>
      </c>
    </row>
    <row r="741" spans="1:6">
      <c r="A741" t="s">
        <v>757</v>
      </c>
      <c r="B741" t="s">
        <v>1532</v>
      </c>
      <c r="C741" t="str">
        <f>device._person_supervisor.has_device</f>
        <v>0 </v>
      </c>
      <c r="E741" t="s">
        <v>288</v>
      </c>
    </row>
    <row r="742" spans="1:6">
      <c r="A742" t="s">
        <v>758</v>
      </c>
      <c r="B742" t="s">
        <v>1532</v>
      </c>
      <c r="C742" t="str">
        <f>device._person_supervisor.has_form</f>
        <v>0 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B794" t="s">
        <v>1552</v>
      </c>
      <c r="C794" t="str">
        <f>device._person_supervisor_alt.uuid</f>
        <v>78d78b3e-b610-48b0-a3e4-4c4bd54d2191</v>
      </c>
      <c r="E794" t="s">
        <v>288</v>
      </c>
    </row>
    <row r="795" spans="1:6">
      <c r="A795" t="s">
        <v>811</v>
      </c>
      <c r="B795">
        <v>20646</v>
      </c>
      <c r="C795">
        <f>device._person_supervisor_alt.aindex</f>
        <v>20646</v>
      </c>
      <c r="E795" t="s">
        <v>288</v>
      </c>
    </row>
    <row r="796" spans="1:6">
      <c r="A796" t="s">
        <v>812</v>
      </c>
      <c r="B796" t="s">
        <v>1521</v>
      </c>
      <c r="C796" t="str">
        <f>device._person_supervisor_alt.company</f>
        <v>c5dc4139-9bb5-4977-836d-3989421722fb</v>
      </c>
      <c r="E796" t="s">
        <v>288</v>
      </c>
    </row>
    <row r="797" spans="1:6">
      <c r="A797" t="s">
        <v>813</v>
      </c>
      <c r="B797"/>
      <c r="C797" t="str">
        <f>device._person_supervisor_alt.migration</f>
        <v/>
      </c>
      <c r="E797" t="s">
        <v>288</v>
      </c>
    </row>
    <row r="798" spans="1:6">
      <c r="A798" t="s">
        <v>814</v>
      </c>
      <c r="B798"/>
      <c r="C798" t="str">
        <f>device._person_supervisor_alt.migration_target</f>
        <v/>
      </c>
      <c r="E798" t="s">
        <v>288</v>
      </c>
    </row>
    <row r="799" spans="1:6">
      <c r="A799" t="s">
        <v>815</v>
      </c>
      <c r="B799" t="s">
        <v>1588</v>
      </c>
      <c r="C799" t="str">
        <f>device._person_supervisor_alt.company_role</f>
        <v>employer</v>
      </c>
      <c r="E799" t="s">
        <v>288</v>
      </c>
    </row>
    <row r="800" spans="1:6">
      <c r="A800" t="s">
        <v>816</v>
      </c>
      <c r="B800" t="s">
        <v>1589</v>
      </c>
      <c r="C800" t="str">
        <f>device._person_supervisor_alt.name</f>
        <v>Tero  Testaaja</v>
      </c>
      <c r="E800" t="s">
        <v>288</v>
      </c>
    </row>
    <row r="801" spans="1:6">
      <c r="A801" t="s">
        <v>817</v>
      </c>
      <c r="B801" t="s">
        <v>1590</v>
      </c>
      <c r="C801" t="str">
        <f>device._person_supervisor_alt.firstname</f>
        <v>Tero </v>
      </c>
      <c r="E801" t="s">
        <v>288</v>
      </c>
    </row>
    <row r="802" spans="1:6">
      <c r="A802" t="s">
        <v>818</v>
      </c>
      <c r="B802" t="s">
        <v>1584</v>
      </c>
      <c r="C802" t="str">
        <f>device._person_supervisor_alt.surname</f>
        <v>Testaaja</v>
      </c>
      <c r="E802" t="s">
        <v>288</v>
      </c>
    </row>
    <row r="803" spans="1:6">
      <c r="A803" t="s">
        <v>819</v>
      </c>
      <c r="B803" t="s">
        <v>1591</v>
      </c>
      <c r="C803" t="str">
        <f>device._person_supervisor_alt.shorthand</f>
        <v>TTX</v>
      </c>
      <c r="E803" t="s">
        <v>288</v>
      </c>
    </row>
    <row r="804" spans="1:6">
      <c r="A804" t="s">
        <v>820</v>
      </c>
      <c r="B804" t="s">
        <v>1592</v>
      </c>
      <c r="C804" t="str">
        <f>device._person_supervisor_alt.email</f>
        <v>testiasiakas@insteam.fi</v>
      </c>
      <c r="E804" t="s">
        <v>288</v>
      </c>
    </row>
    <row r="805" spans="1:6">
      <c r="A805" t="s">
        <v>821</v>
      </c>
      <c r="B805">
        <v>358</v>
      </c>
      <c r="C805">
        <f>device._person_supervisor_alt.phonenumber_cc</f>
        <v>358</v>
      </c>
      <c r="E805" t="s">
        <v>288</v>
      </c>
    </row>
    <row r="806" spans="1:6">
      <c r="A806" t="s">
        <v>822</v>
      </c>
      <c r="B806">
        <v>441234568</v>
      </c>
      <c r="C806">
        <f>device._person_supervisor_alt.phonenumber</f>
        <v>441234568</v>
      </c>
      <c r="E806" t="s">
        <v>288</v>
      </c>
    </row>
    <row r="807" spans="1:6">
      <c r="A807" t="s">
        <v>823</v>
      </c>
      <c r="B807"/>
      <c r="C807" t="str">
        <f>device._person_supervisor_alt.jobtitle</f>
        <v/>
      </c>
      <c r="E807" t="s">
        <v>288</v>
      </c>
    </row>
    <row r="808" spans="1:6">
      <c r="A808" t="s">
        <v>824</v>
      </c>
      <c r="B808" t="s">
        <v>1593</v>
      </c>
      <c r="C808" t="str">
        <f>device._person_supervisor_alt.qualification</f>
        <v>Poikkeuslupa</v>
      </c>
      <c r="E808" t="s">
        <v>288</v>
      </c>
    </row>
    <row r="809" spans="1:6">
      <c r="A809" t="s">
        <v>825</v>
      </c>
      <c r="B809">
        <v>7</v>
      </c>
      <c r="C809">
        <f>device._person_supervisor_alt.qualification_code</f>
        <v>7</v>
      </c>
      <c r="E809" t="s">
        <v>288</v>
      </c>
    </row>
    <row r="810" spans="1:6">
      <c r="A810" t="s">
        <v>826</v>
      </c>
      <c r="B810" t="s">
        <v>1594</v>
      </c>
      <c r="C810" t="str">
        <f>device._person_supervisor_alt.qualification_lpg</f>
        <v>Nestekaasun käytönvalvojan pätevyys</v>
      </c>
      <c r="E810" t="s">
        <v>288</v>
      </c>
    </row>
    <row r="811" spans="1:6">
      <c r="A811" t="s">
        <v>827</v>
      </c>
      <c r="B811" t="s">
        <v>1595</v>
      </c>
      <c r="C811" t="str">
        <f>device._person_supervisor_alt.qualification_ngl</f>
        <v>Maakaasuputkiston käytönvalvoja</v>
      </c>
      <c r="E811" t="s">
        <v>288</v>
      </c>
    </row>
    <row r="812" spans="1:6">
      <c r="A812" t="s">
        <v>828</v>
      </c>
      <c r="B812"/>
      <c r="C812" t="str">
        <f>device._person_supervisor_alt.notes</f>
        <v/>
      </c>
      <c r="E812" t="s">
        <v>288</v>
      </c>
    </row>
    <row r="813" spans="1:6">
      <c r="A813" t="s">
        <v>829</v>
      </c>
      <c r="B813"/>
      <c r="C813" t="str">
        <f>device._person_supervisor_alt.role</f>
        <v/>
      </c>
      <c r="E813" t="s">
        <v>288</v>
      </c>
    </row>
    <row r="814" spans="1:6">
      <c r="A814" t="s">
        <v>830</v>
      </c>
      <c r="B814" t="s">
        <v>1532</v>
      </c>
      <c r="C814" t="str">
        <f>device._person_supervisor_alt.role_code</f>
        <v>0 </v>
      </c>
      <c r="E814" t="s">
        <v>288</v>
      </c>
    </row>
    <row r="815" spans="1:6">
      <c r="A815" t="s">
        <v>831</v>
      </c>
      <c r="B815" t="s">
        <v>1596</v>
      </c>
      <c r="C815" t="str">
        <f>device._person_supervisor_alt.delivery_address</f>
        <v>Helsinki</v>
      </c>
      <c r="E815" t="s">
        <v>288</v>
      </c>
    </row>
    <row r="816" spans="1:6">
      <c r="A816" t="s">
        <v>832</v>
      </c>
      <c r="B816" t="s">
        <v>1597</v>
      </c>
      <c r="C816" t="str">
        <f>device._person_supervisor_alt.InsertTime</f>
        <v>2022-03-17 13:42:01</v>
      </c>
      <c r="E816" t="s">
        <v>288</v>
      </c>
    </row>
    <row r="817" spans="1:6">
      <c r="A817" t="s">
        <v>833</v>
      </c>
      <c r="B817" t="s">
        <v>1598</v>
      </c>
      <c r="C817" t="str">
        <f>device._person_supervisor_alt.UpdateTime</f>
        <v>2024-09-25 05:18:44</v>
      </c>
      <c r="E817" t="s">
        <v>288</v>
      </c>
    </row>
    <row r="818" spans="1:6">
      <c r="A818" t="s">
        <v>834</v>
      </c>
      <c r="B818" t="s">
        <v>1532</v>
      </c>
      <c r="C818" t="str">
        <f>device._person_supervisor_alt.migrated</f>
        <v>0 </v>
      </c>
      <c r="E818" t="s">
        <v>288</v>
      </c>
    </row>
    <row r="819" spans="1:6">
      <c r="A819" t="s">
        <v>835</v>
      </c>
      <c r="B819" t="s">
        <v>1532</v>
      </c>
      <c r="C819" t="str">
        <f>device._person_supervisor_alt.competence_lpg_supervisor</f>
        <v>0 </v>
      </c>
      <c r="E819" t="s">
        <v>288</v>
      </c>
    </row>
    <row r="820" spans="1:6">
      <c r="A820" t="s">
        <v>836</v>
      </c>
      <c r="B820" t="s">
        <v>1532</v>
      </c>
      <c r="C820" t="str">
        <f>device._person_supervisor_alt.competence_lpg_operator</f>
        <v>0 </v>
      </c>
      <c r="E820" t="s">
        <v>288</v>
      </c>
    </row>
    <row r="821" spans="1:6">
      <c r="A821" t="s">
        <v>837</v>
      </c>
      <c r="B821">
        <v>1</v>
      </c>
      <c r="C821">
        <f>device._person_supervisor_alt.enabled</f>
        <v>1</v>
      </c>
      <c r="E821" t="s">
        <v>288</v>
      </c>
    </row>
    <row r="822" spans="1:6">
      <c r="A822" t="s">
        <v>838</v>
      </c>
      <c r="B822" t="s">
        <v>1563</v>
      </c>
      <c r="C822" t="str">
        <f>device._person_supervisor_alt.birth_date</f>
        <v>0000-00-00 </v>
      </c>
      <c r="E822" t="s">
        <v>288</v>
      </c>
    </row>
    <row r="823" spans="1:6">
      <c r="A823" t="s">
        <v>839</v>
      </c>
      <c r="B823"/>
      <c r="C823" t="str">
        <f>device._person_supervisor_alt.birth_place</f>
        <v/>
      </c>
      <c r="E823" t="s">
        <v>288</v>
      </c>
    </row>
    <row r="824" spans="1:6">
      <c r="A824" t="s">
        <v>840</v>
      </c>
      <c r="B824"/>
      <c r="C824" t="str">
        <f>device._person_supervisor_alt.ssn_encrypted</f>
        <v/>
      </c>
      <c r="E824" t="s">
        <v>288</v>
      </c>
    </row>
    <row r="825" spans="1:6">
      <c r="A825" t="s">
        <v>841</v>
      </c>
      <c r="B825" t="s">
        <v>1526</v>
      </c>
      <c r="C825" t="str">
        <f>device._person_supervisor_alt.lang</f>
        <v>fi</v>
      </c>
      <c r="E825" t="s">
        <v>288</v>
      </c>
    </row>
    <row r="826" spans="1:6">
      <c r="A826" t="s">
        <v>842</v>
      </c>
      <c r="B826" t="s">
        <v>1532</v>
      </c>
      <c r="C826" t="str">
        <f>device._person_supervisor_alt.login_tarkes_app</f>
        <v>0 </v>
      </c>
      <c r="E826" t="s">
        <v>288</v>
      </c>
    </row>
    <row r="827" spans="1:6">
      <c r="A827" t="s">
        <v>843</v>
      </c>
      <c r="B827" t="s">
        <v>1532</v>
      </c>
      <c r="C827" t="str">
        <f>device._person_supervisor_alt.login_inspektor_app</f>
        <v>0 </v>
      </c>
      <c r="E827" t="s">
        <v>288</v>
      </c>
    </row>
    <row r="828" spans="1:6">
      <c r="A828" t="s">
        <v>844</v>
      </c>
      <c r="B828" t="s">
        <v>1532</v>
      </c>
      <c r="C828" t="str">
        <f>device._person_supervisor_alt.company_admin</f>
        <v>0 </v>
      </c>
      <c r="E828" t="s">
        <v>288</v>
      </c>
    </row>
    <row r="829" spans="1:6">
      <c r="A829" t="s">
        <v>845</v>
      </c>
      <c r="B829" t="s">
        <v>1532</v>
      </c>
      <c r="C829" t="str">
        <f>device._person_supervisor_alt.has_device</f>
        <v>0 </v>
      </c>
      <c r="E829" t="s">
        <v>288</v>
      </c>
    </row>
    <row r="830" spans="1:6">
      <c r="A830" t="s">
        <v>846</v>
      </c>
      <c r="B830" t="s">
        <v>1532</v>
      </c>
      <c r="C830" t="str">
        <f>device._person_supervisor_alt.has_form</f>
        <v>0 </v>
      </c>
      <c r="E830" t="s">
        <v>288</v>
      </c>
    </row>
    <row r="831" spans="1:6">
      <c r="A831" t="s">
        <v>847</v>
      </c>
      <c r="B831" t="s">
        <v>1521</v>
      </c>
      <c r="C831" t="str">
        <f>device._person_supervisor_alt._company.uuid</f>
        <v>c5dc4139-9bb5-4977-836d-3989421722fb</v>
      </c>
      <c r="E831" t="s">
        <v>288</v>
      </c>
    </row>
    <row r="832" spans="1:6">
      <c r="A832" t="s">
        <v>848</v>
      </c>
      <c r="B832">
        <v>10553</v>
      </c>
      <c r="C832">
        <f>device._person_supervisor_alt._company.aindex</f>
        <v>10553</v>
      </c>
      <c r="E832" t="s">
        <v>288</v>
      </c>
    </row>
    <row r="833" spans="1:6">
      <c r="A833" t="s">
        <v>849</v>
      </c>
      <c r="B833" t="s">
        <v>1570</v>
      </c>
      <c r="C833" t="str">
        <f>device._person_supervisor_alt._company.name</f>
        <v>Möttönen Oy</v>
      </c>
      <c r="E833" t="s">
        <v>288</v>
      </c>
    </row>
    <row r="834" spans="1:6">
      <c r="A834" t="s">
        <v>850</v>
      </c>
      <c r="B834">
        <v>1</v>
      </c>
      <c r="C834">
        <f>device._person_supervisor_alt._company.enabled</f>
        <v>1</v>
      </c>
      <c r="E834" t="s">
        <v>288</v>
      </c>
    </row>
    <row r="835" spans="1:6">
      <c r="A835" t="s">
        <v>851</v>
      </c>
      <c r="B835" t="s">
        <v>1532</v>
      </c>
      <c r="C835" t="str">
        <f>device._person_supervisor_alt._company.migrated</f>
        <v>0 </v>
      </c>
      <c r="E835" t="s">
        <v>288</v>
      </c>
    </row>
    <row r="836" spans="1:6">
      <c r="A836" t="s">
        <v>852</v>
      </c>
      <c r="B836"/>
      <c r="C836" t="str">
        <f>device._person_supervisor_alt._company.migration</f>
        <v/>
      </c>
      <c r="E836" t="s">
        <v>288</v>
      </c>
    </row>
    <row r="837" spans="1:6">
      <c r="A837" t="s">
        <v>853</v>
      </c>
      <c r="B837"/>
      <c r="C837" t="str">
        <f>device._person_supervisor_alt._company.migration_target</f>
        <v/>
      </c>
      <c r="E837" t="s">
        <v>288</v>
      </c>
    </row>
    <row r="838" spans="1:6">
      <c r="A838" t="s">
        <v>854</v>
      </c>
      <c r="B838" t="s">
        <v>1571</v>
      </c>
      <c r="C838" t="str">
        <f>device._person_supervisor_alt._company.StartTime</f>
        <v>2022-02-25 08:32:53</v>
      </c>
      <c r="E838" t="s">
        <v>288</v>
      </c>
    </row>
    <row r="839" spans="1:6">
      <c r="A839" t="s">
        <v>855</v>
      </c>
      <c r="B839" t="s">
        <v>1572</v>
      </c>
      <c r="C839" t="str">
        <f>device._person_supervisor_alt._company.business_id</f>
        <v>8851303-7</v>
      </c>
      <c r="E839" t="s">
        <v>288</v>
      </c>
    </row>
    <row r="840" spans="1:6">
      <c r="A840" t="s">
        <v>856</v>
      </c>
      <c r="B840">
        <v>7</v>
      </c>
      <c r="C840">
        <f>device._person_supervisor_alt._company.business_id_check</f>
        <v>7</v>
      </c>
      <c r="E840" t="s">
        <v>288</v>
      </c>
    </row>
    <row r="841" spans="1:6">
      <c r="A841" t="s">
        <v>857</v>
      </c>
      <c r="B841" t="s">
        <v>1573</v>
      </c>
      <c r="C841" t="str">
        <f>device._person_supervisor_alt._company.UpdateTime</f>
        <v>2024-12-13 06:00:01</v>
      </c>
      <c r="E841" t="s">
        <v>288</v>
      </c>
    </row>
    <row r="842" spans="1:6">
      <c r="A842" t="s">
        <v>858</v>
      </c>
      <c r="B842"/>
      <c r="C842" t="str">
        <f>device._person_supervisor_alt._company.datasource</f>
        <v/>
      </c>
      <c r="E842" t="s">
        <v>288</v>
      </c>
    </row>
    <row r="843" spans="1:6">
      <c r="A843" t="s">
        <v>859</v>
      </c>
      <c r="B843" t="s">
        <v>1574</v>
      </c>
      <c r="C843" t="str">
        <f>device._person_supervisor_alt._company.street_post</f>
        <v>Möttöskatu 12</v>
      </c>
      <c r="E843" t="s">
        <v>288</v>
      </c>
    </row>
    <row r="844" spans="1:6">
      <c r="A844" t="s">
        <v>860</v>
      </c>
      <c r="B844" t="s">
        <v>1575</v>
      </c>
      <c r="C844" t="str">
        <f>device._person_supervisor_alt._company.zip_code_visit</f>
        <v>02100 </v>
      </c>
      <c r="E844" t="s">
        <v>288</v>
      </c>
    </row>
    <row r="845" spans="1:6">
      <c r="A845" t="s">
        <v>861</v>
      </c>
      <c r="B845" t="s">
        <v>1576</v>
      </c>
      <c r="C845" t="str">
        <f>device._person_supervisor_alt._company.city_visit</f>
        <v>Säkylä</v>
      </c>
      <c r="E845" t="s">
        <v>288</v>
      </c>
    </row>
    <row r="846" spans="1:6">
      <c r="A846" t="s">
        <v>862</v>
      </c>
      <c r="B846" t="s">
        <v>1575</v>
      </c>
      <c r="C846" t="str">
        <f>device._person_supervisor_alt._company.zip_code</f>
        <v>02100 </v>
      </c>
      <c r="E846" t="s">
        <v>288</v>
      </c>
    </row>
    <row r="847" spans="1:6">
      <c r="A847" t="s">
        <v>863</v>
      </c>
      <c r="B847" t="s">
        <v>1576</v>
      </c>
      <c r="C847" t="str">
        <f>device._person_supervisor_alt._company.city</f>
        <v>Säkylä</v>
      </c>
      <c r="E847" t="s">
        <v>288</v>
      </c>
    </row>
    <row r="848" spans="1:6">
      <c r="A848" t="s">
        <v>864</v>
      </c>
      <c r="B848"/>
      <c r="C848" t="str">
        <f>device._person_supervisor_alt._company.address_visit</f>
        <v/>
      </c>
      <c r="E848" t="s">
        <v>288</v>
      </c>
    </row>
    <row r="849" spans="1:6">
      <c r="A849" t="s">
        <v>865</v>
      </c>
      <c r="B849" t="s">
        <v>1577</v>
      </c>
      <c r="C849" t="str">
        <f>device._person_supervisor_alt._company.street_visit</f>
        <v>Tuotekatu 1</v>
      </c>
      <c r="E849" t="s">
        <v>288</v>
      </c>
    </row>
    <row r="850" spans="1:6">
      <c r="A850" t="s">
        <v>866</v>
      </c>
      <c r="B850"/>
      <c r="C850" t="str">
        <f>device._person_supervisor_alt._company.notes</f>
        <v/>
      </c>
      <c r="E850" t="s">
        <v>288</v>
      </c>
    </row>
    <row r="851" spans="1:6">
      <c r="A851" t="s">
        <v>867</v>
      </c>
      <c r="B851" t="s">
        <v>1578</v>
      </c>
      <c r="C851" t="str">
        <f>device._person_supervisor_alt._company.state</f>
        <v>active</v>
      </c>
      <c r="E851" t="s">
        <v>288</v>
      </c>
    </row>
    <row r="852" spans="1:6">
      <c r="A852" t="s">
        <v>868</v>
      </c>
      <c r="B852" t="s">
        <v>1579</v>
      </c>
      <c r="C852" t="str">
        <f>device._person_supervisor_alt._company.email</f>
        <v>info@vodera.fi</v>
      </c>
      <c r="E852" t="s">
        <v>288</v>
      </c>
    </row>
    <row r="853" spans="1:6">
      <c r="A853" t="s">
        <v>869</v>
      </c>
      <c r="B853" t="s">
        <v>1532</v>
      </c>
      <c r="C853" t="str">
        <f>device._person_supervisor_alt._company.customer_value</f>
        <v>0 </v>
      </c>
      <c r="E853" t="s">
        <v>288</v>
      </c>
    </row>
    <row r="854" spans="1:6">
      <c r="A854" t="s">
        <v>870</v>
      </c>
      <c r="B854" t="s">
        <v>1532</v>
      </c>
      <c r="C854" t="str">
        <f>device._person_supervisor_alt._company.area_uusimaa</f>
        <v>0 </v>
      </c>
      <c r="E854" t="s">
        <v>288</v>
      </c>
    </row>
    <row r="855" spans="1:6">
      <c r="A855" t="s">
        <v>871</v>
      </c>
      <c r="B855">
        <v>1</v>
      </c>
      <c r="C855">
        <f>device._person_supervisor_alt._company.area_varsinais</f>
        <v>1</v>
      </c>
      <c r="E855" t="s">
        <v>288</v>
      </c>
    </row>
    <row r="856" spans="1:6">
      <c r="A856" t="s">
        <v>872</v>
      </c>
      <c r="B856" t="s">
        <v>1532</v>
      </c>
      <c r="C856" t="str">
        <f>device._person_supervisor_alt._company.area_kymenlaakso</f>
        <v>0 </v>
      </c>
      <c r="E856" t="s">
        <v>288</v>
      </c>
    </row>
    <row r="857" spans="1:6">
      <c r="A857" t="s">
        <v>873</v>
      </c>
      <c r="B857" t="s">
        <v>1532</v>
      </c>
      <c r="C857" t="str">
        <f>device._person_supervisor_alt._company.area_hame</f>
        <v>0 </v>
      </c>
      <c r="E857" t="s">
        <v>288</v>
      </c>
    </row>
    <row r="858" spans="1:6">
      <c r="A858" t="s">
        <v>874</v>
      </c>
      <c r="B858" t="s">
        <v>1532</v>
      </c>
      <c r="C858" t="str">
        <f>device._person_supervisor_alt._company.area_satakunta</f>
        <v>0 </v>
      </c>
      <c r="E858" t="s">
        <v>288</v>
      </c>
    </row>
    <row r="859" spans="1:6">
      <c r="A859" t="s">
        <v>875</v>
      </c>
      <c r="B859" t="s">
        <v>1532</v>
      </c>
      <c r="C859" t="str">
        <f>device._person_supervisor_alt._company.area_pohjanmaa</f>
        <v>0 </v>
      </c>
      <c r="E859" t="s">
        <v>288</v>
      </c>
    </row>
    <row r="860" spans="1:6">
      <c r="A860" t="s">
        <v>876</v>
      </c>
      <c r="B860" t="s">
        <v>1532</v>
      </c>
      <c r="C860" t="str">
        <f>device._person_supervisor_alt._company.area_pohjois</f>
        <v>0 </v>
      </c>
      <c r="E860" t="s">
        <v>288</v>
      </c>
    </row>
    <row r="861" spans="1:6">
      <c r="A861" t="s">
        <v>877</v>
      </c>
      <c r="B861" t="s">
        <v>1532</v>
      </c>
      <c r="C861" t="str">
        <f>device._person_supervisor_alt._company.area_lappi</f>
        <v>0 </v>
      </c>
      <c r="E861" t="s">
        <v>288</v>
      </c>
    </row>
    <row r="862" spans="1:6">
      <c r="A862" t="s">
        <v>878</v>
      </c>
      <c r="B862">
        <v>1</v>
      </c>
      <c r="C862">
        <f>device._person_supervisor_alt._company.devgroup_paine</f>
        <v>1</v>
      </c>
      <c r="E862" t="s">
        <v>288</v>
      </c>
    </row>
    <row r="863" spans="1:6">
      <c r="A863" t="s">
        <v>879</v>
      </c>
      <c r="B863" t="s">
        <v>1532</v>
      </c>
      <c r="C863" t="str">
        <f>device._person_supervisor_alt._company.devgroup_kemikaali</f>
        <v>0 </v>
      </c>
      <c r="E863" t="s">
        <v>288</v>
      </c>
    </row>
    <row r="864" spans="1:6">
      <c r="A864" t="s">
        <v>880</v>
      </c>
      <c r="B864" t="s">
        <v>1532</v>
      </c>
      <c r="C864" t="str">
        <f>device._person_supervisor_alt._company.devgroup_nestekaasu</f>
        <v>0 </v>
      </c>
      <c r="E864" t="s">
        <v>288</v>
      </c>
    </row>
    <row r="865" spans="1:6">
      <c r="A865" t="s">
        <v>881</v>
      </c>
      <c r="B865" t="s">
        <v>1532</v>
      </c>
      <c r="C865" t="str">
        <f>device._person_supervisor_alt._company.devgroup_maakaasu</f>
        <v>0 </v>
      </c>
      <c r="E865" t="s">
        <v>288</v>
      </c>
    </row>
    <row r="866" spans="1:6">
      <c r="A866" t="s">
        <v>882</v>
      </c>
      <c r="B866" t="s">
        <v>1532</v>
      </c>
      <c r="C866" t="str">
        <f>device._person_supervisor_alt._company.devgroup_biokaasu</f>
        <v>0 </v>
      </c>
      <c r="E866" t="s">
        <v>288</v>
      </c>
    </row>
    <row r="867" spans="1:6">
      <c r="A867" t="s">
        <v>883</v>
      </c>
      <c r="B867" t="s">
        <v>1532</v>
      </c>
      <c r="C867" t="str">
        <f>device._person_supervisor_alt._company.devgroup_vakadr</f>
        <v>0 </v>
      </c>
      <c r="E867" t="s">
        <v>288</v>
      </c>
    </row>
    <row r="868" spans="1:6">
      <c r="A868" t="s">
        <v>884</v>
      </c>
      <c r="B868" t="s">
        <v>1532</v>
      </c>
      <c r="C868" t="str">
        <f>device._person_supervisor_alt._company.devgroup_a2</f>
        <v>0 </v>
      </c>
      <c r="E868" t="s">
        <v>288</v>
      </c>
    </row>
    <row r="869" spans="1:6">
      <c r="A869" t="s">
        <v>885</v>
      </c>
      <c r="B869" t="s">
        <v>1532</v>
      </c>
      <c r="C869" t="str">
        <f>device._person_supervisor_alt._company.devgroup_g</f>
        <v>0 </v>
      </c>
      <c r="E869" t="s">
        <v>288</v>
      </c>
    </row>
    <row r="870" spans="1:6">
      <c r="A870" t="s">
        <v>886</v>
      </c>
      <c r="B870" t="s">
        <v>1532</v>
      </c>
      <c r="C870" t="str">
        <f>device._person_supervisor_alt._company.devgroup_other</f>
        <v>0 </v>
      </c>
      <c r="E870" t="s">
        <v>288</v>
      </c>
    </row>
    <row r="871" spans="1:6">
      <c r="A871" t="s">
        <v>887</v>
      </c>
      <c r="B871" t="s">
        <v>1532</v>
      </c>
      <c r="C871" t="str">
        <f>device._person_supervisor_alt._company.role_manufacturer</f>
        <v>0 </v>
      </c>
      <c r="E871" t="s">
        <v>288</v>
      </c>
    </row>
    <row r="872" spans="1:6">
      <c r="A872" t="s">
        <v>888</v>
      </c>
      <c r="B872" t="s">
        <v>1532</v>
      </c>
      <c r="C872" t="str">
        <f>device._person_supervisor_alt._company.role_energyplant</f>
        <v>0 </v>
      </c>
      <c r="E872" t="s">
        <v>288</v>
      </c>
    </row>
    <row r="873" spans="1:6">
      <c r="A873" t="s">
        <v>889</v>
      </c>
      <c r="B873" t="s">
        <v>1532</v>
      </c>
      <c r="C873" t="str">
        <f>device._person_supervisor_alt._company.role_government</f>
        <v>0 </v>
      </c>
      <c r="E873" t="s">
        <v>288</v>
      </c>
    </row>
    <row r="874" spans="1:6">
      <c r="A874" t="s">
        <v>890</v>
      </c>
      <c r="B874">
        <v>1</v>
      </c>
      <c r="C874">
        <f>device._person_supervisor_alt._company.role_processplant</f>
        <v>1</v>
      </c>
      <c r="E874" t="s">
        <v>288</v>
      </c>
    </row>
    <row r="875" spans="1:6">
      <c r="A875" t="s">
        <v>891</v>
      </c>
      <c r="B875" t="s">
        <v>1532</v>
      </c>
      <c r="C875" t="str">
        <f>device._person_supervisor_alt._company.role_transport</f>
        <v>0 </v>
      </c>
      <c r="E875" t="s">
        <v>288</v>
      </c>
    </row>
    <row r="876" spans="1:6">
      <c r="A876" t="s">
        <v>892</v>
      </c>
      <c r="B876" t="s">
        <v>1580</v>
      </c>
      <c r="C876" t="str">
        <f>device._person_supervisor_alt._company.inspection_institution</f>
        <v>admitted</v>
      </c>
      <c r="E876" t="s">
        <v>288</v>
      </c>
    </row>
    <row r="877" spans="1:6">
      <c r="A877" t="s">
        <v>893</v>
      </c>
      <c r="B877" t="s">
        <v>1581</v>
      </c>
      <c r="C877" t="str">
        <f>device._person_supervisor_alt._company.inspection_date_next</f>
        <v>2025-03-13</v>
      </c>
      <c r="E877" t="s">
        <v>288</v>
      </c>
    </row>
    <row r="878" spans="1:6">
      <c r="A878" t="s">
        <v>894</v>
      </c>
      <c r="B878">
        <v>1</v>
      </c>
      <c r="C878">
        <f>device._person_supervisor_alt._company.inspection_overdue_count</f>
        <v>1</v>
      </c>
      <c r="E878" t="s">
        <v>288</v>
      </c>
    </row>
    <row r="879" spans="1:6">
      <c r="A879" t="s">
        <v>895</v>
      </c>
      <c r="B879">
        <v>1</v>
      </c>
      <c r="C879">
        <f>device._person_supervisor_alt._company.inspection_upcoming_count</f>
        <v>1</v>
      </c>
      <c r="E879" t="s">
        <v>288</v>
      </c>
    </row>
    <row r="880" spans="1:6">
      <c r="A880" t="s">
        <v>896</v>
      </c>
      <c r="B880">
        <v>1</v>
      </c>
      <c r="C880">
        <f>device._person_supervisor_alt._company.inspection_soon_count</f>
        <v>1</v>
      </c>
      <c r="E880" t="s">
        <v>288</v>
      </c>
    </row>
    <row r="881" spans="1:6">
      <c r="A881" t="s">
        <v>897</v>
      </c>
      <c r="B881">
        <v>1</v>
      </c>
      <c r="C881">
        <f>device._person_supervisor_alt._company.ped_licence</f>
        <v>1</v>
      </c>
      <c r="E881" t="s">
        <v>288</v>
      </c>
    </row>
    <row r="882" spans="1:6">
      <c r="A882" t="s">
        <v>898</v>
      </c>
      <c r="B882">
        <v>1</v>
      </c>
      <c r="C882">
        <f>first_inspection</f>
        <v>1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1532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1532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1532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1532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1532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1532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1532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1532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1532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1532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1532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1532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1532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1532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1532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1532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1532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1532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1532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1532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1532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1532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1532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1532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1532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1532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1532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1532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1532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1532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1532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1532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1532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1532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1532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1532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1532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1532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1532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1532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1532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1532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1532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1532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1532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1532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1532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1532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1532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1532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1532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1532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1532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1532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1532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1532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1532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1532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1532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1532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1532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1532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1532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1532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1532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1532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1532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1532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1532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1532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1532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1532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1532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1532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1532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1532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1532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1532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1532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1532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1532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1532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1532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1532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1532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1532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1532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1532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1532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1532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1532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1532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1532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1532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1532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1532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1532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1532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1532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1532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1532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1532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1532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1532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1532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1532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1532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1532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1532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1532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1532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1532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1532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1532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1532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1532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1532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1532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1532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1532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1532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1532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1532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1532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1532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1532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1532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1532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1532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1532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1532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1532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1532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1532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1532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1532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1532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1532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1532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1532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1532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1532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1532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1532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1532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1532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1532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1532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1532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1532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1532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1532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1532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1532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1532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1532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1532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1532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1532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1532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1540</v>
      </c>
      <c r="C1447" t="str">
        <f>next_inspection_date</f>
        <v>2025-05-05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1532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1532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1532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1532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1532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1532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1599</v>
      </c>
      <c r="C1454" t="str">
        <f>tech_condition_assessment</f>
        <v>Hyvä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1532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1540</v>
      </c>
      <c r="C1477" t="str">
        <f>inspection_date</f>
        <v>2025-05-05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1540</v>
      </c>
      <c r="C1478" t="str">
        <f>signature_date</f>
        <v>2025-05-05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1541</v>
      </c>
      <c r="C1480" t="str">
        <f>hyvaksynta_tarkastaja</f>
        <v>qweqweqe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