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<sst xmlns="http://schemas.openxmlformats.org/spreadsheetml/2006/main" uniqueCount="1105">
  <si>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</si>
  <si>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</si>
  <si>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</si>
  <si>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</si>
  <si>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</si>
  <si>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</si>
  <si>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</si>
  <si>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</si>
  <si>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</si>
  <si>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</si>
  <si>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</si>
  <si>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</si>
  <si>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</si>
  <si>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</si>
  <si>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</si>
  <si>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</si>
  <si>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</si>
  <si>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</si>
  <si>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</si>
  <si>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</si>
  <si>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</si>
  <si>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</si>
  <si>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</si>
  <si>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</si>
  <si>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</si>
  <si>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</si>
  <si>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</si>
  <si>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</si>
  <si>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</si>
  <si>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</si>
  <si>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</si>
  <si>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</si>
  <si>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</si>
  <si>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</si>
  <si>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</si>
  <si>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</si>
  <si>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</si>
  <si>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</si>
  <si>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</si>
  <si>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</si>
  <si>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</si>
  <si>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</si>
  <si>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</si>
  <si>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</si>
  <si>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</si>
  <si>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</si>
  <si>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</si>
  <si>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</si>
  <si>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</si>
  <si>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</si>
  <si>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</si>
  <si>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</si>
  <si>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</si>
  <si>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</si>
  <si>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</si>
  <si>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</si>
  <si>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</si>
  <si>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</si>
  <si>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</si>
  <si>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</si>
  <si>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</si>
  <si>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</si>
  <si>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</si>
  <si>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</si>
  <si>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</si>
  <si>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</si>
  <si>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</si>
  <si>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</si>
  <si>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</si>
  <si>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</si>
  <si>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</si>
  <si>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</si>
  <si>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</si>
  <si>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</si>
  <si>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</si>
  <si>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</si>
  <si>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</si>
  <si>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</si>
  <si>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</si>
  <si>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</si>
  <si>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</si>
  <si>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</si>
  <si>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</si>
  <si>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</si>
  <si>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</si>
  <si>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</si>
  <si>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</si>
  <si>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</si>
  <si>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</si>
  <si>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</si>
  <si>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</si>
  <si>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</si>
  <si>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</si>
  <si>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</si>
  <si>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</si>
  <si>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</si>
  <si>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</si>
  <si>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</si>
  <si>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</si>
  <si>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</si>
  <si>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</si>
  <si>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</si>
  <si>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</si>
  <si>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</si>
  <si>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</si>
  <si>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</si>
  <si>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</si>
  <si>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</si>
  <si>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</si>
  <si>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</si>
  <si>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</si>
  <si>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</si>
  <si>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</si>
  <si>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</si>
  <si>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</si>
  <si>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</si>
  <si>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</si>
  <si>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</si>
  <si>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</si>
  <si>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</si>
  <si>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</si>
  <si>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</si>
  <si>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</si>
  <si>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</si>
  <si>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</si>
  <si>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</si>
  <si>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</si>
  <si>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</si>
  <si>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</si>
  <si>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</si>
  <si>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</si>
  <si>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</si>
  <si>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</si>
  <si>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</si>
  <si>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</si>
  <si>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</si>
  <si>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</si>
  <si>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</si>
  <si>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</si>
  <si>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</si>
  <si>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</si>
  <si>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</si>
  <si>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</si>
  <si>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</si>
  <si>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</si>
  <si>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</si>
  <si>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</si>
  <si>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</si>
  <si>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</si>
  <si>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</si>
  <si>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</si>
  <si>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</si>
  <si>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</si>
  <si>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</si>
  <si>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</si>
  <si>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</si>
  <si>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</si>
  <si>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</si>
  <si>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</si>
  <si>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</si>
  <si>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</si>
  <si>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</si>
  <si>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</si>
  <si>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</si>
  <si>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</si>
  <si>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</si>
  <si>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</si>
  <si>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</si>
  <si>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</si>
  <si>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</si>
  <si>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</si>
  <si>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</si>
  <si>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</si>
  <si>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</si>
  <si>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</si>
  <si>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</si>
  <si>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</si>
  <si>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</si>
  <si>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</si>
  <si>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</si>
  <si>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</si>
  <si>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</si>
  <si>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</si>
  <si>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</si>
  <si>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</si>
  <si>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</si>
  <si>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</si>
  <si>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</si>
  <si>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</si>
  <si>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</si>
  <si>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</si>
  <si>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</si>
  <si>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</si>
  <si>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</si>
  <si>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</si>
  <si>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</si>
  <si>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</si>
  <si>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</si>
  <si>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</si>
  <si>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</si>
  <si>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</si>
  <si>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</si>
  <si>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</si>
  <si>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</si>
  <si>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</si>
  <si>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</si>
  <si>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</si>
  <si>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</si>
  <si>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</si>
  <si>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</si>
  <si>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</si>
  <si>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</si>
  <si>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</si>
  <si>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</si>
  <si>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</si>
  <si>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</si>
  <si>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</si>
  <si>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</si>
  <si>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</si>
  <si>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</si>
  <si>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</si>
  <si>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</si>
  <si>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</si>
  <si>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</si>
  <si>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</si>
  <si>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</si>
  <si>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</si>
  <si>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</si>
  <si>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</si>
  <si>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</si>
  <si>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</si>
  <si>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</si>
  <si>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</si>
  <si>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</si>
  <si>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</si>
  <si>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</si>
  <si>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</si>
  <si>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</si>
  <si>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</si>
  <si>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</si>
  <si>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</si>
  <si>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</si>
  <si>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</si>
  <si>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</si>
  <si>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</si>
  <si>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</si>
  <si>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</si>
  <si>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</si>
  <si>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</si>
  <si>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</si>
  <si>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</si>
  <si>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</si>
  <si>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</si>
  <si>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</si>
  <si>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</si>
  <si>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</si>
  <si>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</si>
  <si>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</si>
  <si>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</si>
  <si>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</si>
  <si>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</si>
  <si>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</si>
  <si>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</si>
  <si>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</si>
  <si>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</si>
  <si>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</si>
  <si>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</si>
  <si>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</si>
  <si>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</si>
  <si>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</si>
  <si>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</si>
  <si>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</si>
  <si>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</si>
  <si>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</si>
  <si>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</si>
  <si>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</si>
  <si>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</si>
  <si>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</si>
  <si>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</si>
  <si>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</si>
  <si>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</si>
  <si>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</si>
  <si>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</si>
  <si>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</si>
  <si>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</si>
  <si>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</si>
  <si>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</si>
  <si>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</si>
  <si>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</si>
  <si>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</si>
  <si>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</si>
  <si>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</si>
  <si>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</si>
  <si>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</si>
  <si>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</si>
  <si>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</si>
  <si>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</si>
  <si>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</si>
  <si>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</si>
  <si>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</si>
  <si>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</si>
  <si>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</si>
  <si>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</si>
  <si>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</si>
  <si>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</si>
  <si>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</si>
  <si>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</si>
  <si>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</si>
  <si>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</si>
  <si>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</si>
  <si>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</si>
  <si>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</si>
  <si>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</si>
  <si>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</si>
  <si>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</si>
  <si>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</si>
  <si>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</si>
  <si>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</si>
  <si>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</si>
  <si>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</si>
  <si>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</si>
  <si>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</si>
  <si>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</si>
  <si>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</si>
  <si>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</si>
  <si>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</si>
  <si>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</si>
  <si>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</si>
  <si>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</si>
  <si>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</si>
  <si>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</si>
  <si>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</si>
  <si>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</si>
  <si>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</si>
  <si>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</si>
  <si>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</si>
  <si>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</si>
  <si>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</si>
  <si>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</si>
  <si>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</si>
  <si>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</si>
  <si>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</si>
  <si>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</si>
  <si>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</si>
  <si>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</si>
  <si>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</si>
  <si>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</si>
  <si>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</si>
  <si>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</si>
  <si>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</si>
  <si>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</si>
  <si>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</si>
  <si>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</si>
  <si>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</si>
  <si>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</si>
  <si>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</si>
  <si>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</si>
  <si>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</si>
  <si>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</si>
  <si>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</si>
  <si>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</si>
  <si>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</si>
  <si>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</si>
  <si>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</si>
  <si>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</si>
  <si>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</si>
  <si>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</si>
  <si>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</si>
  <si>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</si>
  <si>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</si>
  <si>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</si>
  <si>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</si>
  <si>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</si>
  <si>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</si>
  <si>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</si>
  <si>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</si>
  <si>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</si>
  <si>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</si>
  <si>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</si>
  <si>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</si>
  <si>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</si>
  <si>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</si>
  <si>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</si>
  <si>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</si>
  <si>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</si>
  <si>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</si>
  <si>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</si>
  <si>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</si>
  <si>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</si>
  <si>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</si>
  <si>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</si>
  <si>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</si>
  <si>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</si>
  <si>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</si>
  <si>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</si>
  <si>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</si>
  <si>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</si>
  <si>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</si>
  <si>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</si>
  <si>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</si>
  <si>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</si>
  <si>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</si>
  <si>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</si>
  <si>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</si>
  <si>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</si>
  <si>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</si>
  <si>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</si>
  <si>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</si>
  <si>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</si>
  <si>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</si>
  <si>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</si>
  <si>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</si>
  <si>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</si>
  <si>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</si>
  <si>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</si>
  <si>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</si>
  <si>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</si>
  <si>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</si>
  <si>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</si>
  <si>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</si>
  <si>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</si>
  <si>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</si>
  <si>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</si>
  <si>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</si>
  <si>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</si>
  <si>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</si>
  <si>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</si>
  <si>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</si>
  <si>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</si>
  <si>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</si>
  <si>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</si>
  <si>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</si>
  <si>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</si>
  <si>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</si>
  <si>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</si>
  <si>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</si>
  <si>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</si>
  <si>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</si>
  <si>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</si>
  <si>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</si>
  <si>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</si>
  <si>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</si>
  <si>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</si>
  <si>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</si>
  <si>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</si>
  <si>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</si>
  <si>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</si>
  <si>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</si>
  <si>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</si>
  <si>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</si>
  <si>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</si>
  <si>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</si>
  <si>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</si>
  <si>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</si>
  <si>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</si>
  <si>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</si>
  <si>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</si>
  <si>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</si>
  <si>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</si>
  <si>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</si>
  <si>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</si>
  <si>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</si>
  <si>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</si>
  <si>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</si>
  <si>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</si>
  <si>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</si>
  <si>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</si>
  <si>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</si>
  <si>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</si>
  <si>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</si>
  <si>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</si>
  <si>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</si>
  <si>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</si>
  <si>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</si>
  <si>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</si>
  <si>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</si>
  <si>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</si>
  <si>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</si>
  <si>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</si>
  <si>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</si>
  <si>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</si>
  <si>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</si>
  <si>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</si>
  <si>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</si>
  <si>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</si>
  <si>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</si>
  <si>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</si>
  <si>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</si>
  <si>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</si>
  <si>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</si>
  <si>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</si>
  <si>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</si>
  <si>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</si>
  <si>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</si>
  <si>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</si>
  <si>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</si>
  <si>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</si>
  <si>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</si>
  <si>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</si>
  <si>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</si>
  <si>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</si>
  <si>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</si>
  <si>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</si>
  <si>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</si>
  <si>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</si>
  <si>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</si>
  <si>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</si>
  <si>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</si>
  <si>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</si>
  <si>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</si>
  <si>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</si>
  <si>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</si>
  <si>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</si>
  <si>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</si>
  <si>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</si>
  <si>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</si>
  <si>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</si>
  <si>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</si>
  <si>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</si>
  <si>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</si>
  <si>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</si>
  <si>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</si>
  <si>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</si>
  <si>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</si>
  <si>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</si>
  <si>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</si>
  <si>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</si>
  <si>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</si>
  <si>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</si>
  <si>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</si>
  <si>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</si>
  <si>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</si>
  <si>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</si>
  <si>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</si>
  <si>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</si>
  <si>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</si>
  <si>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</si>
  <si>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</si>
  <si>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</si>
  <si>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</si>
  <si>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</si>
  <si>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</si>
  <si>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</si>
  <si>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</si>
  <si>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</si>
  <si>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</si>
  <si>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</si>
  <si>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</si>
  <si>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</si>
  <si>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</si>
  <si>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</si>
  <si>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</si>
  <si>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</si>
  <si>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</si>
  <si>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</si>
  <si>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</si>
  <si>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</si>
  <si>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</si>
  <si>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</si>
  <si>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</si>
  <si>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</si>
  <si>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</si>
  <si>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</si>
  <si>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</si>
  <si>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</si>
  <si>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</si>
  <si>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</si>
  <si>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</si>
  <si>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</si>
  <si>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</si>
  <si>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</si>
  <si>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</si>
  <si>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</si>
  <si>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</si>
  <si>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</si>
  <si>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</si>
  <si>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</si>
  <si>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</si>
  <si>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</si>
  <si>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</si>
  <si>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</si>
  <si>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</si>
  <si>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</si>
  <si>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</si>
  <si>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</si>
  <si>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</si>
  <si>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</si>
  <si>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</si>
  <si>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</si>
  <si>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</si>
  <si>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</si>
  <si>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</si>
  <si>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</si>
  <si>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</si>
  <si>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</si>
  <si>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</si>
  <si>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</si>
  <si>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</si>
  <si>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</si>
  <si>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</si>
  <si>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</si>
  <si>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</si>
  <si>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</si>
  <si>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</si>
  <si>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</si>
  <si>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</si>
  <si>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</si>
  <si>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</si>
  <si>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</si>
  <si>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</si>
  <si>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</si>
  <si>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</si>
  <si>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</si>
  <si>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</si>
  <si>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</si>
  <si>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</si>
  <si>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</si>
  <si>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</si>
  <si>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</si>
  <si>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</si>
  <si>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</si>
  <si>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</si>
  <si>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</si>
  <si>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</si>
  <si>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</si>
  <si>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</si>
  <si>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</si>
  <si>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</si>
  <si>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</si>
  <si>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</si>
  <si>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</si>
  <si>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</si>
  <si>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</si>
  <si>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</si>
  <si>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</si>
  <si>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</si>
  <si>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</si>
  <si>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</si>
  <si>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</si>
  <si>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</si>
  <si>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</si>
  <si>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</si>
  <si>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</si>
  <si>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</si>
  <si>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</si>
  <si>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</si>
  <si>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</si>
  <si>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</si>
  <si>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</si>
  <si>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</si>
  <si>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</si>
  <si>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</si>
  <si>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</si>
  <si>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</si>
  <si>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</si>
  <si>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</si>
  <si>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</si>
  <si>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</si>
  <si>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</si>
  <si>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</si>
  <si>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</si>
  <si>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</si>
  <si>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</si>
  <si>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</si>
  <si>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</si>
  <si>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</si>
  <si>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</si>
  <si>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</si>
  <si>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</si>
  <si>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</si>
  <si>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</si>
  <si>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</si>
  <si>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</si>
  <si>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</si>
  <si>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</si>
  <si>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</si>
  <si>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</si>
  <si>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</si>
  <si>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</si>
  <si>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</si>
  <si>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</si>
  <si>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</si>
  <si>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</si>
  <si>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</si>
  <si>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</si>
  <si>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</si>
  <si>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</si>
  <si>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</si>
  <si>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</si>
  <si>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</si>
  <si>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</si>
  <si>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</si>
  <si>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</si>
  <si>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</si>
  <si>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</si>
  <si>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</si>
  <si>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</si>
  <si>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</si>
  <si>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</si>
  <si>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</si>
  <si>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</si>
  <si>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</si>
  <si>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</si>
  <si>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</si>
  <si>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</si>
  <si>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</si>
  <si>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</si>
  <si>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</si>
  <si>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</si>
  <si>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</si>
  <si>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</si>
  <si>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</si>
  <si>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</si>
  <si>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</si>
  <si>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</si>
  <si>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</si>
  <si>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</si>
  <si>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</si>
  <si>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</si>
  <si>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</si>
  <si>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</si>
  <si>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</si>
  <si>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</si>
  <si>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</si>
  <si>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</si>
  <si>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</si>
  <si>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</si>
  <si>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</si>
  <si>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</si>
  <si>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</si>
  <si>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</si>
  <si>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</si>
  <si>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</si>
  <si>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</si>
  <si>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</si>
  <si>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</si>
  <si>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</si>
  <si>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</si>
  <si>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</si>
  <si>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</si>
  <si>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</si>
  <si>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</si>
  <si>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</si>
  <si>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</si>
  <si>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</si>
  <si>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</si>
  <si>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</si>
  <si>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</si>
  <si>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</si>
  <si>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</si>
  <si>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</si>
  <si>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</si>
  <si>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</si>
  <si>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</si>
  <si>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</si>
  <si>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</si>
  <si>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</si>
  <si>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</si>
  <si>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</si>
  <si>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</si>
  <si>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</si>
  <si>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</si>
  <si>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</si>
  <si>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</si>
  <si>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</si>
  <si>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</si>
  <si>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</si>
  <si>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</si>
  <si>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</si>
  <si>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</si>
  <si>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</si>
  <si>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</si>
  <si>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</si>
  <si>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</si>
  <si>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</si>
  <si>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</si>
  <si>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</si>
  <si>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</si>
  <si>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</si>
  <si>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</si>
  <si>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</si>
  <si>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</si>
  <si>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</si>
  <si>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</si>
  <si>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</si>
  <si>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</si>
  <si>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</si>
  <si>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</si>
  <si>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</si>
  <si>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</si>
  <si>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</si>
  <si>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</si>
  <si>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</si>
  <si>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</si>
  <si>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</si>
  <si>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</si>
  <si>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</si>
  <si>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</si>
  <si>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</si>
  <si>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</si>
  <si>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</si>
  <si>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</si>
  <si>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</si>
  <si>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</si>
  <si>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</si>
  <si>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</si>
  <si>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</si>
  <si>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</si>
  <si>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</si>
  <si>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</si>
  <si>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</si>
  <si>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</si>
  <si>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</si>
  <si>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</si>
  <si>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</si>
  <si>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</si>
  <si>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</si>
  <si>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</si>
  <si>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</si>
  <si>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</si>
  <si>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</si>
  <si>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</si>
  <si>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</si>
  <si>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</si>
  <si>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</si>
  <si>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</si>
  <si>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</si>
  <si>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</si>
  <si>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</si>
  <si>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</si>
  <si>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</si>
  <si>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</si>
  <si>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</si>
  <si>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</si>
  <si>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</si>
  <si>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</si>
  <si>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</si>
  <si>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</si>
  <si>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</si>
  <si>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</si>
  <si>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</si>
  <si>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</si>
  <si>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</si>
  <si>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</si>
  <si>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</si>
  <si>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</si>
  <si>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</si>
  <si>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</si>
  <si>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</si>
  <si>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</si>
  <si>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</si>
  <si>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</si>
  <si>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</si>
  <si>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</si>
  <si>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</si>
  <si>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</si>
  <si>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</si>
  <si>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</si>
  <si>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</si>
  <si>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</si>
  <si>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</si>
  <si>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</si>
  <si>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</si>
  <si>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</si>
  <si>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</si>
  <si>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</si>
  <si>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</si>
  <si>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</si>
  <si>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</si>
  <si>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</si>
  <si>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</si>
  <si>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</si>
  <si>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</si>
  <si>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</si>
  <si>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</si>
  <si>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</si>
  <si>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</si>
  <si>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</si>
  <si>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</si>
  <si>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</si>
  <si>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</si>
  <si>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</si>
  <si>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</si>
  <si>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</si>
  <si>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</si>
  <si>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</si>
  <si>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</si>
  <si>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</si>
  <si>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</si>
  <si>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</si>
  <si>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</si>
  <si>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</si>
  <si>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</si>
  <si>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</si>
  <si>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</si>
  <si>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</si>
  <si>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</si>
  <si>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</si>
  <si>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</si>
  <si>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</si>
  <si>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</si>
  <si>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</si>
  <si>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</si>
  <si>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</si>
  <si>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</si>
  <si>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</si>
  <si>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</si>
  <si>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</si>
  <si>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</si>
  <si>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</si>
  <si>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</si>
  <si>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</si>
  <si>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</si>
  <si>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</si>
  <si>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</si>
  <si>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</si>
  <si>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</si>
  <si>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</si>
  <si>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</si>
  <si>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</si>
  <si>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</si>
  <si>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</si>
  <si>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</si>
  <si>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</si>
  <si>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</si>
  <si>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</si>
  <si>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</si>
  <si>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</si>
  <si>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</si>
  <si>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</si>
  <si>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</si>
  <si>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</si>
  <si>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</si>
  <si>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</si>
  <si>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</si>
  <si>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</si>
  <si>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</si>
  <si>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</si>
  <si>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</si>
  <si>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</si>
  <si>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</si>
  <si>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</si>
  <si>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</si>
  <si>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</si>
  <si>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</si>
  <si>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</si>
  <si>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</si>
  <si>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</si>
  <si>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</si>
  <si>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</si>
  <si>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</si>
  <si>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</si>
  <si>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</si>
  <si>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</si>
  <si>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</si>
  <si>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</si>
  <si>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</si>
  <si>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</si>
  <si>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</si>
  <si>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</si>
  <si>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</si>
  <si>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</si>
  <si>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</si>
  <si>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</si>
  <si>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</si>
  <si>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</si>
  <si>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</si>
  <si>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</si>
  <si>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</si>
  <si>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</si>
  <si>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</si>
  <si>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</si>
  <si>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</si>
  <si>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</si>
  <si>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</si>
  <si>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</si>
  <si>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</si>
  <si>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</si>
  <si>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</si>
  <si>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</si>
  <si>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</si>
  <si>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</si>
  <si>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</si>
  <si>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</si>
  <si>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</si>
  <si>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</si>
  <si>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</si>
  <si>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</si>
  <si>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</si>
  <si>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</si>
  <si>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</si>
  <si>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</si>
  <si>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</si>
  <si>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</si>
  <si>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</si>
  <si>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</si>
  <si>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</si>
  <si>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</si>
  <si>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</si>
  <si>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</si>
  <si>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</si>
  <si>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</si>
  <si>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</si>
  <si>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</si>
  <si>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</si>
  <si>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</si>
  <si>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</si>
  <si>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</si>
  <si>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</si>
  <si>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</si>
  <si>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</si>
  <si>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</si>
  <si>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</si>
  <si>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</si>
  <si>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</si>
  <si>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</si>
  <si>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</si>
  <si>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</si>
  <si>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</si>
  <si>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</si>
  <si>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</si>
  <si>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</si>
  <si>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</si>
  <si>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</si>
  <si>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</si>
  <si>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</si>
  <si>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</si>
  <si>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</si>
  <si>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</si>
  <si>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</si>
  <si>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</si>
  <si>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</si>
  <si>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</si>
  <si>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</si>
  <si>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</si>
  <si>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</si>
  <si>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</si>
  <si>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</si>
  <si>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</si>
  <si>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</si>
  <si>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</si>
  <si>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</si>
  <si>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</si>
  <si>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</si>
  <si>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</si>
  <si>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</si>
  <si>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</si>
  <si>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</si>
  <si>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</si>
  <si>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</si>
  <si>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</si>
  <si>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</si>
  <si>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</si>
  <si>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</si>
  <si>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</si>
  <si>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</si>
  <si>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</si>
  <si>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</si>
  <si>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</si>
  <si>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</si>
  <si>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</si>
  <si>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</si>
  <si>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</si>
  <si>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</si>
  <si>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</si>
  <si>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</si>
  <si>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</si>
  <si>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</si>
  <si>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</si>
  <si>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</si>
  <si>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</si>
  <si>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</si>
  <si>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ddae869e-82b3-4125-abde-5dc84635cb41</t>
  </si>
  <si>
    <t>448c3382-0a42-468b-8452-33d8335c7d55</t>
  </si>
  <si>
    <t>a79be73d-4b30-4bbd-bec0-877c52a4fac1</t>
  </si>
  <si>
    <t>46d229b0-33af-06a1-91ff-2267bca9ae56</t>
  </si>
  <si>
    <t>Painelaitteen 1. määräaikaistarkastus</t>
  </si>
  <si>
    <t>pending</t>
  </si>
  <si>
    <t>fi</t>
  </si>
  <si>
    <t>2025-03-27 12:48:39</t>
  </si>
  <si>
    <t>2025-03-20 13:44:22</t>
  </si>
  <si>
    <t>ede6b670-e231-d82d-df2b-793d9ae06a78</t>
  </si>
  <si>
    <t>//localhost:8001/cdn/upload/c72dd109-0ad0-ba04-1402-f3964236032c.xlsx</t>
  </si>
  <si>
    <t xml:space="preserve">0 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</si>
  <si>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</si>
  <si>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</si>
  <si>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</si>
  <si>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</si>
  <si>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2025-03-27 12:13:31</t>
  </si>
  <si>
    <t xml:space="preserve">0000-00-00 00:00:00 </t>
  </si>
  <si>
    <t>2025-03-27</t>
  </si>
  <si>
    <t>p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</si>
  <si>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</si>
  <si>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</si>
  <si>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</si>
  <si>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</si>
  <si>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</si>
  <si>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</si>
  <si>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</si>
  <si>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</si>
  <si>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</si>
  <si>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</si>
  <si>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</si>
  <si>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</si>
  <si>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2025-03-28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</si>
</sst>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e7bf83a48b00dbec3dcccaafe2fcdf8a.jpeg"/><Relationship Id="rId2" Type="http://schemas.openxmlformats.org/officeDocument/2006/relationships/image" Target="../media/fa651d232180905809c2ab13836539f9.png"/><Relationship Id="rId3" Type="http://schemas.openxmlformats.org/officeDocument/2006/relationships/image" Target="../media/fa651d232180905809c2ab13836539f9.png"/><Relationship Id="rId4" Type="http://schemas.openxmlformats.org/officeDocument/2006/relationships/image" Target="../media/82bd9f74c0b1123ed563c9db7082e1db.png"/><Relationship Id="rId5" Type="http://schemas.openxmlformats.org/officeDocument/2006/relationships/image" Target="../media/82bd9f74c0b1123ed563c9db7082e1db.png"/><Relationship Id="rId6" Type="http://schemas.openxmlformats.org/officeDocument/2006/relationships/image" Target="../media/fa651d232180905809c2ab13836539f9.png"/><Relationship Id="rId7" Type="http://schemas.openxmlformats.org/officeDocument/2006/relationships/image" Target="../media/82bd9f74c0b1123ed563c9db7082e1db.png"/><Relationship Id="rId8" Type="http://schemas.openxmlformats.org/officeDocument/2006/relationships/image" Target="../media/fa651d232180905809c2ab13836539f9.png"/><Relationship Id="rId9" Type="http://schemas.openxmlformats.org/officeDocument/2006/relationships/image" Target="../media/82bd9f74c0b1123ed563c9db7082e1db.png"/><Relationship Id="rId10" Type="http://schemas.openxmlformats.org/officeDocument/2006/relationships/image" Target="../media/fa651d232180905809c2ab13836539f9.png"/><Relationship Id="rId11" Type="http://schemas.openxmlformats.org/officeDocument/2006/relationships/image" Target="../media/82bd9f74c0b1123ed563c9db7082e1db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2100001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27.3.2025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/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/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 t="str">
        <f>device.manufacturing_number</f>
        <v/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/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Kemikaalisäiliö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/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>
        <f>device._company_owner.name</f>
        <v>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>
        <f>device._company_holder.name</f>
        <v>0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>
        <f>device._company_owner.street_post</f>
        <v>0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>
        <f>device._company_holder.street_post</f>
        <v>0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 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 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>
        <f>device._person_supervisor.name</f>
        <v>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>
        <f>device._person_supervisor_alt.name</f>
        <v>0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/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/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/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/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28.3.2025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-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-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-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, 27.3.2025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/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2100001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27.3.2025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/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/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/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/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 t="str">
        <f>device.manufacturing_number</f>
        <v/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2099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0 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0 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0 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 | </v>
      </c>
      <c r="H73" s="56"/>
      <c r="I73" s="56"/>
      <c r="J73" s="56"/>
      <c r="K73" s="56"/>
      <c r="L73" s="47"/>
      <c r="M73" s="56" t="str">
        <f>device.ps_state2_max&amp;" | "&amp;device.ps_state2_min</f>
        <v>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 | </v>
      </c>
      <c r="H74" s="49"/>
      <c r="I74" s="49"/>
      <c r="J74" s="49"/>
      <c r="K74" s="49"/>
      <c r="L74" s="43"/>
      <c r="M74" s="49" t="str">
        <f>device.ts_state2_max&amp;" | "&amp;device.ts_state2_min</f>
        <v>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 t="str">
        <f>device.v_state1</f>
        <v>0 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/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/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2100001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27.3.2025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/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/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/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/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 t="str">
        <f>device.manufacturing_number</f>
        <v/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2099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Kemikaalisäiliö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/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/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/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0 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0 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0 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Tila 1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 | </v>
      </c>
      <c r="H129" s="56"/>
      <c r="I129" s="56"/>
      <c r="J129" s="56"/>
      <c r="K129" s="56"/>
      <c r="L129" s="47"/>
      <c r="M129" s="56" t="str">
        <f>device.ps_state2_max&amp;" | "&amp;device.ps_state2_min</f>
        <v>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 | </v>
      </c>
      <c r="H130" s="49"/>
      <c r="I130" s="49"/>
      <c r="J130" s="49"/>
      <c r="K130" s="49"/>
      <c r="L130" s="43"/>
      <c r="M130" s="49" t="str">
        <f>device.ts_state2_max&amp;" | "&amp;device.ts_state2_min</f>
        <v>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 t="str">
        <f>device.v_state1</f>
        <v>0 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 t="str">
        <f>device.power_state1</f>
        <v>0 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/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/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2100001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27.3.2025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 t="str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 t="str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2100001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27.3.2025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27.3.2025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2100001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27.3.2025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27.3.2025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2100001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27.3.2025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2100001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27.3.2025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2100001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27.3.2025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2100001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27.3.2025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ddae869e-82b3-4125-abde-5dc84635cb41</v>
      </c>
      <c r="E2" t="s">
        <v>90</v>
      </c>
    </row>
    <row r="3" spans="1:6">
      <c r="A3" t="s">
        <v>91</v>
      </c>
      <c r="B3">
        <v>1</v>
      </c>
      <c r="C3">
        <f>form.aindex</f>
        <v>1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2100001</v>
      </c>
      <c r="C5">
        <f>form.aindex_bundle</f>
        <v>2100001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/>
      <c r="C9">
        <f>form.company</f>
        <v/>
      </c>
      <c r="E9" t="s">
        <v>90</v>
      </c>
    </row>
    <row r="10" spans="1:6">
      <c r="A10" t="s">
        <v>98</v>
      </c>
      <c r="B10" t="s">
        <v>1074</v>
      </c>
      <c r="C10" t="str">
        <f>form.device</f>
        <v>a79be73d-4b30-4bbd-bec0-877c52a4fac1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 t="str">
        <f>form.company_create</f>
        <v/>
      </c>
      <c r="E13" t="s">
        <v>90</v>
      </c>
    </row>
    <row r="14" spans="1:6">
      <c r="A14" t="s">
        <v>102</v>
      </c>
      <c r="B14" t="s">
        <v>1075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1075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5</v>
      </c>
      <c r="C16">
        <f>form.version</f>
        <v>5</v>
      </c>
      <c r="E16" t="s">
        <v>90</v>
      </c>
    </row>
    <row r="17" spans="1:6">
      <c r="A17" t="s">
        <v>105</v>
      </c>
      <c r="B17" t="s">
        <v>1076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1077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1078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1079</v>
      </c>
      <c r="C20" t="str">
        <f>form.InsertTime</f>
        <v>2025-03-27 12:48:39</v>
      </c>
      <c r="E20" t="s">
        <v>90</v>
      </c>
    </row>
    <row r="21" spans="1:6">
      <c r="A21" t="s">
        <v>109</v>
      </c>
      <c r="C21">
        <f>form.UpdateTime</f>
        <v>0</v>
      </c>
      <c r="E21" t="s">
        <v>90</v>
      </c>
    </row>
    <row r="22" spans="1:6">
      <c r="A22" t="s">
        <v>110</v>
      </c>
      <c r="B22" t="s">
        <v>1080</v>
      </c>
      <c r="C22" t="str">
        <f>form.UpdateTimeTemplate</f>
        <v>2025-03-20 13:44:22</v>
      </c>
      <c r="E22" t="s">
        <v>90</v>
      </c>
    </row>
    <row r="23" spans="1:6">
      <c r="A23" t="s">
        <v>111</v>
      </c>
      <c r="B23" t="s">
        <v>1081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1082</v>
      </c>
      <c r="C24" t="str">
        <f>form.upload_url</f>
        <v>//localhost:8001/cdn/upload/c72dd109-0ad0-ba04-1402-f3964236032c.xlsx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 t="s">
        <v>1083</v>
      </c>
      <c r="C26" t="str">
        <f>form.pdf_report</f>
        <v>0 </v>
      </c>
      <c r="E26" t="s">
        <v>90</v>
      </c>
    </row>
    <row r="27" spans="1:6">
      <c r="A27" t="s">
        <v>115</v>
      </c>
      <c r="B27"/>
      <c r="C27">
        <f>form.pdf_url</f>
        <v/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/>
      <c r="C29">
        <f>form.sheet_url</f>
        <v/>
      </c>
      <c r="E29" t="s">
        <v>90</v>
      </c>
    </row>
    <row r="30" spans="1:6">
      <c r="A30" t="s">
        <v>118</v>
      </c>
      <c r="B30"/>
      <c r="C30">
        <f>form.sheet_report</f>
        <v/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1083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1083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 t="s">
        <v>1083</v>
      </c>
      <c r="C36" t="str">
        <f>form.xml_error</f>
        <v>0 </v>
      </c>
      <c r="E36" t="s">
        <v>90</v>
      </c>
    </row>
    <row r="37" spans="1:6">
      <c r="A37" t="s">
        <v>125</v>
      </c>
      <c r="B37" t="s">
        <v>1083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1083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1075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1084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 t="str">
        <f>form._employer_create.name</f>
        <v/>
      </c>
      <c r="E44" t="s">
        <v>90</v>
      </c>
    </row>
    <row r="45" spans="1:6">
      <c r="A45" t="s">
        <v>133</v>
      </c>
      <c r="B45"/>
      <c r="C45" t="str">
        <f>form._employer_create.company</f>
        <v/>
      </c>
      <c r="E45" t="s">
        <v>90</v>
      </c>
    </row>
    <row r="46" spans="1:6">
      <c r="A46" t="s">
        <v>134</v>
      </c>
      <c r="B46"/>
      <c r="C46" t="str">
        <f>form._employer_create.creator</f>
        <v/>
      </c>
      <c r="E46" t="s">
        <v>90</v>
      </c>
    </row>
    <row r="47" spans="1:6">
      <c r="A47" t="s">
        <v>135</v>
      </c>
      <c r="B47"/>
      <c r="C47" t="str">
        <f>form._employer_create.creator_ip</f>
        <v/>
      </c>
      <c r="E47" t="s">
        <v>90</v>
      </c>
    </row>
    <row r="48" spans="1:6">
      <c r="A48" t="s">
        <v>136</v>
      </c>
      <c r="B48" t="s">
        <v>1085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1086</v>
      </c>
      <c r="C49" t="str">
        <f>form._employer_create.signature_url</f>
        <v>https://inspektor.insteam.fi/devcdnupload/d5e4056e-b1c7-9cd0-6c7f-a77ddeafda0e.png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1087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 t="s">
        <v>1088</v>
      </c>
      <c r="C54" t="str">
        <f>form._employer_create.UpdateTime</f>
        <v>2025-03-27 12:13:31</v>
      </c>
      <c r="E54" t="s">
        <v>90</v>
      </c>
    </row>
    <row r="55" spans="1:6">
      <c r="A55" t="s">
        <v>143</v>
      </c>
      <c r="B55" t="s">
        <v>1089</v>
      </c>
      <c r="C55" t="str">
        <f>form._employer_create.LastLogin</f>
        <v>0000-00-00 00:00:00 </v>
      </c>
      <c r="E55" t="s">
        <v>90</v>
      </c>
    </row>
    <row r="56" spans="1:6">
      <c r="A56" t="s">
        <v>144</v>
      </c>
      <c r="B56"/>
      <c r="C56" t="str">
        <f>form._employer_create.datasource</f>
        <v/>
      </c>
      <c r="E56" t="s">
        <v>90</v>
      </c>
    </row>
    <row r="57" spans="1:6">
      <c r="A57" t="s">
        <v>145</v>
      </c>
      <c r="B57"/>
      <c r="C57" t="str">
        <f>form._employer_create.finuid</f>
        <v/>
      </c>
      <c r="E57" t="s">
        <v>90</v>
      </c>
    </row>
    <row r="58" spans="1:6">
      <c r="A58" t="s">
        <v>146</v>
      </c>
      <c r="B58" t="s">
        <v>1083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1083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 t="str">
        <f>form._employer_create.city</f>
        <v/>
      </c>
      <c r="E60" t="s">
        <v>90</v>
      </c>
    </row>
    <row r="61" spans="1:6">
      <c r="A61" t="s">
        <v>149</v>
      </c>
      <c r="B61"/>
      <c r="C61" t="str">
        <f>form._employer_create.jobtitle</f>
        <v/>
      </c>
      <c r="E61" t="s">
        <v>90</v>
      </c>
    </row>
    <row r="62" spans="1:6">
      <c r="A62" t="s">
        <v>150</v>
      </c>
      <c r="B62"/>
      <c r="C62" t="str">
        <f>form._employer_create.phonenumber</f>
        <v/>
      </c>
      <c r="E62" t="s">
        <v>90</v>
      </c>
    </row>
    <row r="63" spans="1:6">
      <c r="A63" t="s">
        <v>151</v>
      </c>
      <c r="B63"/>
      <c r="C63" t="str">
        <f>form._employer_create.street</f>
        <v/>
      </c>
      <c r="E63" t="s">
        <v>90</v>
      </c>
    </row>
    <row r="64" spans="1:6">
      <c r="A64" t="s">
        <v>152</v>
      </c>
      <c r="B64"/>
      <c r="C64" t="str">
        <f>form._employer_create.zip_code</f>
        <v/>
      </c>
      <c r="E64" t="s">
        <v>90</v>
      </c>
    </row>
    <row r="65" spans="1:6">
      <c r="A65" t="s">
        <v>153</v>
      </c>
      <c r="B65"/>
      <c r="C65" t="str">
        <f>form._employer_create.pressure_meter_number</f>
        <v/>
      </c>
      <c r="E65" t="s">
        <v>90</v>
      </c>
    </row>
    <row r="66" spans="1:6">
      <c r="A66" t="s">
        <v>154</v>
      </c>
      <c r="B66"/>
      <c r="C66" t="str">
        <f>form._employer_create.pressure_sensor_number</f>
        <v/>
      </c>
      <c r="E66" t="s">
        <v>90</v>
      </c>
    </row>
    <row r="67" spans="1:6">
      <c r="A67" t="s">
        <v>155</v>
      </c>
      <c r="B67" t="s">
        <v>1078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1075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1084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 t="str">
        <f>form._employer_update.name</f>
        <v/>
      </c>
      <c r="E88" t="s">
        <v>90</v>
      </c>
    </row>
    <row r="89" spans="1:6">
      <c r="A89" t="s">
        <v>177</v>
      </c>
      <c r="B89"/>
      <c r="C89" t="str">
        <f>form._employer_update.company</f>
        <v/>
      </c>
      <c r="E89" t="s">
        <v>90</v>
      </c>
    </row>
    <row r="90" spans="1:6">
      <c r="A90" t="s">
        <v>178</v>
      </c>
      <c r="B90"/>
      <c r="C90" t="str">
        <f>form._employer_update.creator</f>
        <v/>
      </c>
      <c r="E90" t="s">
        <v>90</v>
      </c>
    </row>
    <row r="91" spans="1:6">
      <c r="A91" t="s">
        <v>179</v>
      </c>
      <c r="B91"/>
      <c r="C91" t="str">
        <f>form._employer_update.creator_ip</f>
        <v/>
      </c>
      <c r="E91" t="s">
        <v>90</v>
      </c>
    </row>
    <row r="92" spans="1:6">
      <c r="A92" t="s">
        <v>180</v>
      </c>
      <c r="B92" t="s">
        <v>1085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1086</v>
      </c>
      <c r="C93" t="str">
        <f>form._employer_update.signature_url</f>
        <v>https://inspektor.insteam.fi/devcdnupload/d5e4056e-b1c7-9cd0-6c7f-a77ddeafda0e.png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1087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 t="s">
        <v>1088</v>
      </c>
      <c r="C98" t="str">
        <f>form._employer_update.UpdateTime</f>
        <v>2025-03-27 12:13:31</v>
      </c>
      <c r="E98" t="s">
        <v>90</v>
      </c>
    </row>
    <row r="99" spans="1:6">
      <c r="A99" t="s">
        <v>187</v>
      </c>
      <c r="B99" t="s">
        <v>1089</v>
      </c>
      <c r="C99" t="str">
        <f>form._employer_update.LastLogin</f>
        <v>0000-00-00 00:00:00 </v>
      </c>
      <c r="E99" t="s">
        <v>90</v>
      </c>
    </row>
    <row r="100" spans="1:6">
      <c r="A100" t="s">
        <v>188</v>
      </c>
      <c r="B100"/>
      <c r="C100" t="str">
        <f>form._employer_update.datasource</f>
        <v/>
      </c>
      <c r="E100" t="s">
        <v>90</v>
      </c>
    </row>
    <row r="101" spans="1:6">
      <c r="A101" t="s">
        <v>189</v>
      </c>
      <c r="B101"/>
      <c r="C101" t="str">
        <f>form._employer_update.finuid</f>
        <v/>
      </c>
      <c r="E101" t="s">
        <v>90</v>
      </c>
    </row>
    <row r="102" spans="1:6">
      <c r="A102" t="s">
        <v>190</v>
      </c>
      <c r="B102" t="s">
        <v>1083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1083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 t="str">
        <f>form._employer_update.city</f>
        <v/>
      </c>
      <c r="E104" t="s">
        <v>90</v>
      </c>
    </row>
    <row r="105" spans="1:6">
      <c r="A105" t="s">
        <v>193</v>
      </c>
      <c r="B105"/>
      <c r="C105" t="str">
        <f>form._employer_update.jobtitle</f>
        <v/>
      </c>
      <c r="E105" t="s">
        <v>90</v>
      </c>
    </row>
    <row r="106" spans="1:6">
      <c r="A106" t="s">
        <v>194</v>
      </c>
      <c r="B106"/>
      <c r="C106" t="str">
        <f>form._employer_update.phonenumber</f>
        <v/>
      </c>
      <c r="E106" t="s">
        <v>90</v>
      </c>
    </row>
    <row r="107" spans="1:6">
      <c r="A107" t="s">
        <v>195</v>
      </c>
      <c r="B107"/>
      <c r="C107" t="str">
        <f>form._employer_update.street</f>
        <v/>
      </c>
      <c r="E107" t="s">
        <v>90</v>
      </c>
    </row>
    <row r="108" spans="1:6">
      <c r="A108" t="s">
        <v>196</v>
      </c>
      <c r="B108"/>
      <c r="C108" t="str">
        <f>form._employer_update.zip_code</f>
        <v/>
      </c>
      <c r="E108" t="s">
        <v>90</v>
      </c>
    </row>
    <row r="109" spans="1:6">
      <c r="A109" t="s">
        <v>197</v>
      </c>
      <c r="B109"/>
      <c r="C109" t="str">
        <f>form._employer_update.pressure_meter_number</f>
        <v/>
      </c>
      <c r="E109" t="s">
        <v>90</v>
      </c>
    </row>
    <row r="110" spans="1:6">
      <c r="A110" t="s">
        <v>198</v>
      </c>
      <c r="B110"/>
      <c r="C110" t="str">
        <f>form._employer_update.pressure_sensor_number</f>
        <v/>
      </c>
      <c r="E110" t="s">
        <v>90</v>
      </c>
    </row>
    <row r="111" spans="1:6">
      <c r="A111" t="s">
        <v>199</v>
      </c>
      <c r="B111" t="s">
        <v>1078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1074</v>
      </c>
      <c r="C130" t="str">
        <f>device.uuid</f>
        <v>a79be73d-4b30-4bbd-bec0-877c52a4fac1</v>
      </c>
      <c r="E130" t="s">
        <v>219</v>
      </c>
    </row>
    <row r="131" spans="1:6">
      <c r="A131" t="s">
        <v>220</v>
      </c>
      <c r="B131">
        <v>34818</v>
      </c>
      <c r="C131">
        <f>device.aindex</f>
        <v>34818</v>
      </c>
      <c r="E131" t="s">
        <v>219</v>
      </c>
    </row>
    <row r="132" spans="1:6">
      <c r="A132" t="s">
        <v>221</v>
      </c>
      <c r="B132"/>
      <c r="C132" t="str">
        <f>device.reg</f>
        <v/>
      </c>
      <c r="E132" t="s">
        <v>219</v>
      </c>
    </row>
    <row r="133" spans="1:6">
      <c r="A133" t="s">
        <v>222</v>
      </c>
      <c r="B133"/>
      <c r="C133" t="str">
        <f>device.reg_prev</f>
        <v/>
      </c>
      <c r="E133" t="s">
        <v>219</v>
      </c>
    </row>
    <row r="134" spans="1:6">
      <c r="A134" t="s">
        <v>223</v>
      </c>
      <c r="B134" t="s">
        <v>1083</v>
      </c>
      <c r="C134" t="str">
        <f>device.reg_unavailable</f>
        <v>0 </v>
      </c>
      <c r="E134" t="s">
        <v>219</v>
      </c>
    </row>
    <row r="135" spans="1:6">
      <c r="A135" t="s">
        <v>224</v>
      </c>
      <c r="B135" t="s">
        <v>1092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1075</v>
      </c>
      <c r="C136" t="str">
        <f>device.inspector</f>
        <v>46d229b0-33af-06a1-91ff-2267bca9ae56</v>
      </c>
      <c r="E136" t="s">
        <v>219</v>
      </c>
    </row>
    <row r="137" spans="1:6">
      <c r="A137" t="s">
        <v>226</v>
      </c>
      <c r="B137" t="s">
        <v>1093</v>
      </c>
      <c r="C137" t="str">
        <f>device.title</f>
        <v>X TESTI 20231108</v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1094</v>
      </c>
      <c r="C139" t="str">
        <f>device.EditDate</f>
        <v>2024-05-23</v>
      </c>
      <c r="E139" t="s">
        <v>219</v>
      </c>
    </row>
    <row r="140" spans="1:6">
      <c r="A140" t="s">
        <v>229</v>
      </c>
      <c r="B140">
        <v>2</v>
      </c>
      <c r="C140">
        <f>device.version</f>
        <v>2</v>
      </c>
      <c r="E140" t="s">
        <v>219</v>
      </c>
    </row>
    <row r="141" spans="1:6">
      <c r="A141" t="s">
        <v>230</v>
      </c>
      <c r="B141" t="s">
        <v>1095</v>
      </c>
      <c r="C141" t="str">
        <f>device.certificate_latest_int</f>
        <v>0100012 </v>
      </c>
      <c r="E141" t="s">
        <v>219</v>
      </c>
    </row>
    <row r="142" spans="1:6">
      <c r="A142" t="s">
        <v>231</v>
      </c>
      <c r="B142" t="s">
        <v>1083</v>
      </c>
      <c r="C142" t="str">
        <f>device.next_usage_inspection</f>
        <v>0 </v>
      </c>
      <c r="E142" t="s">
        <v>219</v>
      </c>
    </row>
    <row r="143" spans="1:6">
      <c r="A143" t="s">
        <v>232</v>
      </c>
      <c r="B143" t="s">
        <v>1083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 t="s">
        <v>1083</v>
      </c>
      <c r="C144" t="str">
        <f>device.next_scheduled_pressure</f>
        <v>0 </v>
      </c>
      <c r="E144" t="s">
        <v>219</v>
      </c>
    </row>
    <row r="145" spans="1:6">
      <c r="A145" t="s">
        <v>234</v>
      </c>
      <c r="B145" t="s">
        <v>1083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1083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1083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1083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1083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1083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1096</v>
      </c>
      <c r="C151" t="str">
        <f>device.inspection_date_latest</f>
        <v>2025-03-04</v>
      </c>
      <c r="E151" t="s">
        <v>219</v>
      </c>
    </row>
    <row r="152" spans="1:6">
      <c r="A152" t="s">
        <v>241</v>
      </c>
      <c r="B152" t="s">
        <v>1097</v>
      </c>
      <c r="C152" t="str">
        <f>device.inspection_date_next</f>
        <v>1222-12-12</v>
      </c>
      <c r="E152" t="s">
        <v>219</v>
      </c>
    </row>
    <row r="153" spans="1:6">
      <c r="A153" t="s">
        <v>242</v>
      </c>
      <c r="B153" t="s">
        <v>1083</v>
      </c>
      <c r="C153" t="str">
        <f>device.running_number</f>
        <v>0 </v>
      </c>
      <c r="E153" t="s">
        <v>219</v>
      </c>
    </row>
    <row r="154" spans="1:6">
      <c r="A154" t="s">
        <v>243</v>
      </c>
      <c r="B154" t="s">
        <v>1098</v>
      </c>
      <c r="C154" t="str">
        <f>device.running_number_changed</f>
        <v>1970-01-01</v>
      </c>
      <c r="E154" t="s">
        <v>219</v>
      </c>
    </row>
    <row r="155" spans="1:6">
      <c r="A155" t="s">
        <v>244</v>
      </c>
      <c r="B155"/>
      <c r="C155" t="str">
        <f>device.running_number_history</f>
        <v/>
      </c>
      <c r="E155" t="s">
        <v>219</v>
      </c>
    </row>
    <row r="156" spans="1:6">
      <c r="A156" t="s">
        <v>245</v>
      </c>
      <c r="B156"/>
      <c r="C156" t="str">
        <f>device.company_owner</f>
        <v/>
      </c>
      <c r="E156" t="s">
        <v>219</v>
      </c>
    </row>
    <row r="157" spans="1:6">
      <c r="A157" t="s">
        <v>246</v>
      </c>
      <c r="B157"/>
      <c r="C157" t="str">
        <f>device.company_holder</f>
        <v/>
      </c>
      <c r="E157" t="s">
        <v>219</v>
      </c>
    </row>
    <row r="158" spans="1:6">
      <c r="A158" t="s">
        <v>247</v>
      </c>
      <c r="B158"/>
      <c r="C158" t="str">
        <f>device.company_manufacturer</f>
        <v/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/>
      <c r="C161" t="str">
        <f>device.person_supervisor</f>
        <v/>
      </c>
      <c r="E161" t="s">
        <v>219</v>
      </c>
    </row>
    <row r="162" spans="1:6">
      <c r="A162" t="s">
        <v>251</v>
      </c>
      <c r="B162"/>
      <c r="C162" t="str">
        <f>device.person_supervisor_alt</f>
        <v/>
      </c>
      <c r="E162" t="s">
        <v>219</v>
      </c>
    </row>
    <row r="163" spans="1:6">
      <c r="A163" t="s">
        <v>252</v>
      </c>
      <c r="B163"/>
      <c r="C163" t="str">
        <f>device.inspector_person_name</f>
        <v/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2099</v>
      </c>
      <c r="C165">
        <f>device.manufacturing_year</f>
        <v>2099</v>
      </c>
      <c r="E165" t="s">
        <v>219</v>
      </c>
    </row>
    <row r="166" spans="1:6">
      <c r="A166" t="s">
        <v>255</v>
      </c>
      <c r="B166"/>
      <c r="C166" t="str">
        <f>device.manufacturing_number</f>
        <v/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/>
      <c r="C168" t="str">
        <f>device.manufacturing_standard</f>
        <v/>
      </c>
      <c r="E168" t="s">
        <v>219</v>
      </c>
    </row>
    <row r="169" spans="1:6">
      <c r="A169" t="s">
        <v>258</v>
      </c>
      <c r="B169"/>
      <c r="C169" t="str">
        <f>device.location_device</f>
        <v/>
      </c>
      <c r="E169" t="s">
        <v>219</v>
      </c>
    </row>
    <row r="170" spans="1:6">
      <c r="A170" t="s">
        <v>259</v>
      </c>
      <c r="B170"/>
      <c r="C170" t="str">
        <f>device.location_description</f>
        <v/>
      </c>
      <c r="E170" t="s">
        <v>219</v>
      </c>
    </row>
    <row r="171" spans="1:6">
      <c r="A171" t="s">
        <v>260</v>
      </c>
      <c r="B171"/>
      <c r="C171" t="str">
        <f>device.location_address</f>
        <v/>
      </c>
      <c r="E171" t="s">
        <v>219</v>
      </c>
    </row>
    <row r="172" spans="1:6">
      <c r="A172" t="s">
        <v>261</v>
      </c>
      <c r="B172"/>
      <c r="C172" t="str">
        <f>device.location_city</f>
        <v/>
      </c>
      <c r="E172" t="s">
        <v>219</v>
      </c>
    </row>
    <row r="173" spans="1:6">
      <c r="A173" t="s">
        <v>262</v>
      </c>
      <c r="B173" t="s">
        <v>1083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1099</v>
      </c>
      <c r="C174" t="str">
        <f>device.category_description</f>
        <v>Kemikaalisäiliö</v>
      </c>
      <c r="E174" t="s">
        <v>219</v>
      </c>
    </row>
    <row r="175" spans="1:6">
      <c r="A175" t="s">
        <v>264</v>
      </c>
      <c r="B175" t="s">
        <v>1083</v>
      </c>
      <c r="C175" t="str">
        <f>device.subcategory_code</f>
        <v>0 </v>
      </c>
      <c r="E175" t="s">
        <v>219</v>
      </c>
    </row>
    <row r="176" spans="1:6">
      <c r="A176" t="s">
        <v>265</v>
      </c>
      <c r="B176"/>
      <c r="C176" t="str">
        <f>device.subcategory_description</f>
        <v/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 t="s">
        <v>1083</v>
      </c>
      <c r="C178" t="str">
        <f>device.usage_method_code</f>
        <v>0 </v>
      </c>
      <c r="E178" t="s">
        <v>219</v>
      </c>
    </row>
    <row r="179" spans="1:6">
      <c r="A179" t="s">
        <v>268</v>
      </c>
      <c r="B179"/>
      <c r="C179" t="str">
        <f>device.usage_method_description</f>
        <v/>
      </c>
      <c r="E179" t="s">
        <v>219</v>
      </c>
    </row>
    <row r="180" spans="1:6">
      <c r="A180" t="s">
        <v>269</v>
      </c>
      <c r="B180" t="s">
        <v>1083</v>
      </c>
      <c r="C180" t="str">
        <f>device.stucture_code</f>
        <v>0 </v>
      </c>
      <c r="E180" t="s">
        <v>219</v>
      </c>
    </row>
    <row r="181" spans="1:6">
      <c r="A181" t="s">
        <v>270</v>
      </c>
      <c r="B181"/>
      <c r="C181" t="str">
        <f>device.stucture_description</f>
        <v/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1083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1083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1083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 t="s">
        <v>1083</v>
      </c>
      <c r="C189" t="str">
        <f>device.primary_fuel_code</f>
        <v>0 </v>
      </c>
      <c r="E189" t="s">
        <v>219</v>
      </c>
    </row>
    <row r="190" spans="1:6">
      <c r="A190" t="s">
        <v>279</v>
      </c>
      <c r="B190"/>
      <c r="C190" t="str">
        <f>device.primary_fuel</f>
        <v/>
      </c>
      <c r="E190" t="s">
        <v>219</v>
      </c>
    </row>
    <row r="191" spans="1:6">
      <c r="A191" t="s">
        <v>280</v>
      </c>
      <c r="B191"/>
      <c r="C191" t="str">
        <f>device.ps_state1_min</f>
        <v/>
      </c>
      <c r="E191" t="s">
        <v>219</v>
      </c>
    </row>
    <row r="192" spans="1:6">
      <c r="A192" t="s">
        <v>281</v>
      </c>
      <c r="B192"/>
      <c r="C192" t="str">
        <f>device.ps_state1_max</f>
        <v/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/>
      <c r="C194" t="str">
        <f>device.ps_state2_max</f>
        <v/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/>
      <c r="C197" t="str">
        <f>device.ts_state1_min</f>
        <v/>
      </c>
      <c r="E197" t="s">
        <v>219</v>
      </c>
    </row>
    <row r="198" spans="1:6">
      <c r="A198" t="s">
        <v>287</v>
      </c>
      <c r="B198"/>
      <c r="C198" t="str">
        <f>device.ts_state1_max</f>
        <v/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/>
      <c r="C200" t="str">
        <f>device.ts_state2_max</f>
        <v/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 t="s">
        <v>1083</v>
      </c>
      <c r="C203" t="str">
        <f>device.v_state1</f>
        <v>0 </v>
      </c>
      <c r="E203" t="s">
        <v>219</v>
      </c>
    </row>
    <row r="204" spans="1:6">
      <c r="A204" t="s">
        <v>293</v>
      </c>
      <c r="B204" t="s">
        <v>1083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1083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 t="s">
        <v>1100</v>
      </c>
      <c r="C208" t="str">
        <f>device.content_primary_subtitle</f>
        <v>DDS</v>
      </c>
      <c r="E208" t="s">
        <v>219</v>
      </c>
    </row>
    <row r="209" spans="1:6">
      <c r="A209" t="s">
        <v>298</v>
      </c>
      <c r="B209" t="s">
        <v>1083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/>
      <c r="C210" t="str">
        <f>device.content_state1</f>
        <v/>
      </c>
      <c r="E210" t="s">
        <v>219</v>
      </c>
    </row>
    <row r="211" spans="1:6">
      <c r="A211" t="s">
        <v>300</v>
      </c>
      <c r="B211"/>
      <c r="C211" t="str">
        <f>device.content_state1_title</f>
        <v/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/>
      <c r="C213" t="str">
        <f>device.content_state2</f>
        <v/>
      </c>
      <c r="E213" t="s">
        <v>219</v>
      </c>
    </row>
    <row r="214" spans="1:6">
      <c r="A214" t="s">
        <v>303</v>
      </c>
      <c r="B214"/>
      <c r="C214" t="str">
        <f>device.content_state2_title</f>
        <v/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 t="s">
        <v>1083</v>
      </c>
      <c r="C219" t="str">
        <f>device.power_state1</f>
        <v>0 </v>
      </c>
      <c r="E219" t="s">
        <v>219</v>
      </c>
    </row>
    <row r="220" spans="1:6">
      <c r="A220" t="s">
        <v>309</v>
      </c>
      <c r="B220" t="s">
        <v>1083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1083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1101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1101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1101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1101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1101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1101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1101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1101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1101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1101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1083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1083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1083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1083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1083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1083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 t="s">
        <v>1083</v>
      </c>
      <c r="C238" t="str">
        <f>device.cycle_usage_inspection</f>
        <v>0 </v>
      </c>
      <c r="E238" t="s">
        <v>219</v>
      </c>
    </row>
    <row r="239" spans="1:6">
      <c r="A239" t="s">
        <v>328</v>
      </c>
      <c r="B239" t="s">
        <v>1083</v>
      </c>
      <c r="C239" t="str">
        <f>device.cycle_scheduled_pressure</f>
        <v>0 </v>
      </c>
      <c r="E239" t="s">
        <v>219</v>
      </c>
    </row>
    <row r="240" spans="1:6">
      <c r="A240" t="s">
        <v>329</v>
      </c>
      <c r="B240" t="s">
        <v>1083</v>
      </c>
      <c r="C240" t="str">
        <f>device.cycle_inside_inspection</f>
        <v>0 </v>
      </c>
      <c r="E240" t="s">
        <v>219</v>
      </c>
    </row>
    <row r="241" spans="1:6">
      <c r="A241" t="s">
        <v>330</v>
      </c>
      <c r="B241" t="s">
        <v>1102</v>
      </c>
      <c r="C241" t="str">
        <f>device.UpdateTime</f>
        <v>2025-03-04 16:11:55</v>
      </c>
      <c r="E241" t="s">
        <v>219</v>
      </c>
    </row>
    <row r="242" spans="1:6">
      <c r="A242" t="s">
        <v>331</v>
      </c>
      <c r="B242" t="s">
        <v>1103</v>
      </c>
      <c r="C242" t="str">
        <f>device.InsertTime</f>
        <v>2023-11-08 15:45:44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1083</v>
      </c>
      <c r="C244" t="str">
        <f>device.orbeon_imported</f>
        <v>0 </v>
      </c>
      <c r="E244" t="s">
        <v>219</v>
      </c>
    </row>
    <row r="245" spans="1:6">
      <c r="A245" t="s">
        <v>334</v>
      </c>
      <c r="B245"/>
      <c r="C245" t="str">
        <f>device.title_state1</f>
        <v/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1083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1083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1083</v>
      </c>
      <c r="C253" t="str">
        <f>device.dn_state3</f>
        <v>0 </v>
      </c>
      <c r="E253" t="s">
        <v>219</v>
      </c>
    </row>
    <row r="254" spans="1:6">
      <c r="A254" t="s">
        <v>343</v>
      </c>
      <c r="B254"/>
      <c r="C254" t="str">
        <f>device.person_supervisor_role</f>
        <v/>
      </c>
      <c r="E254" t="s">
        <v>219</v>
      </c>
    </row>
    <row r="255" spans="1:6">
      <c r="A255" t="s">
        <v>344</v>
      </c>
      <c r="B255" t="s">
        <v>1083</v>
      </c>
      <c r="C255" t="str">
        <f>device.person_supervisor_role_code</f>
        <v>0 </v>
      </c>
      <c r="E255" t="s">
        <v>219</v>
      </c>
    </row>
    <row r="256" spans="1:6">
      <c r="A256" t="s">
        <v>345</v>
      </c>
      <c r="B256"/>
      <c r="C256" t="str">
        <f>device.person_supervisor_alt_role</f>
        <v/>
      </c>
      <c r="E256" t="s">
        <v>219</v>
      </c>
    </row>
    <row r="257" spans="1:6">
      <c r="A257" t="s">
        <v>346</v>
      </c>
      <c r="B257" t="s">
        <v>1083</v>
      </c>
      <c r="C257" t="str">
        <f>device.person_supervisor_alt_role_code</f>
        <v>0 </v>
      </c>
      <c r="E257" t="s">
        <v>219</v>
      </c>
    </row>
    <row r="258" spans="1:6">
      <c r="A258" t="s">
        <v>347</v>
      </c>
      <c r="B258"/>
      <c r="C258" t="str">
        <f>device.person_supervisor_alt_qualification</f>
        <v/>
      </c>
      <c r="E258" t="s">
        <v>219</v>
      </c>
    </row>
    <row r="259" spans="1:6">
      <c r="A259" t="s">
        <v>348</v>
      </c>
      <c r="B259" t="s">
        <v>1083</v>
      </c>
      <c r="C259" t="str">
        <f>device.person_supervisor_alt_qualification_code</f>
        <v>0 </v>
      </c>
      <c r="E259" t="s">
        <v>219</v>
      </c>
    </row>
    <row r="260" spans="1:6">
      <c r="A260" t="s">
        <v>349</v>
      </c>
      <c r="B260"/>
      <c r="C260" t="str">
        <f>device.person_supervisor_qualification</f>
        <v/>
      </c>
      <c r="E260" t="s">
        <v>219</v>
      </c>
    </row>
    <row r="261" spans="1:6">
      <c r="A261" t="s">
        <v>350</v>
      </c>
      <c r="B261" t="s">
        <v>1083</v>
      </c>
      <c r="C261" t="str">
        <f>device.person_supervisor_qualification_code</f>
        <v>0 </v>
      </c>
      <c r="E261" t="s">
        <v>219</v>
      </c>
    </row>
    <row r="262" spans="1:6">
      <c r="A262" t="s">
        <v>351</v>
      </c>
      <c r="B262" t="s">
        <v>1083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1083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1083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/>
      <c r="C266" t="str">
        <f>device.class_description</f>
        <v/>
      </c>
      <c r="E266" t="s">
        <v>219</v>
      </c>
    </row>
    <row r="267" spans="1:6">
      <c r="A267" t="s">
        <v>356</v>
      </c>
      <c r="B267"/>
      <c r="C267" t="str">
        <f>device.safety_device_description</f>
        <v/>
      </c>
      <c r="E267" t="s">
        <v>219</v>
      </c>
    </row>
    <row r="268" spans="1:6">
      <c r="A268" t="s">
        <v>357</v>
      </c>
      <c r="B268" t="s">
        <v>1083</v>
      </c>
      <c r="C268" t="str">
        <f>device.running_number_static</f>
        <v>0 </v>
      </c>
      <c r="E268" t="s">
        <v>219</v>
      </c>
    </row>
    <row r="269" spans="1:6">
      <c r="A269" t="s">
        <v>358</v>
      </c>
      <c r="B269" t="s">
        <v>1083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C352">
        <f>device._company_owner.uuid</f>
        <v>0</v>
      </c>
      <c r="E352" t="s">
        <v>219</v>
      </c>
    </row>
    <row r="353" spans="1:6">
      <c r="A353" t="s">
        <v>442</v>
      </c>
      <c r="C353">
        <f>device._company_owner.aindex</f>
        <v>0</v>
      </c>
      <c r="E353" t="s">
        <v>219</v>
      </c>
    </row>
    <row r="354" spans="1:6">
      <c r="A354" t="s">
        <v>443</v>
      </c>
      <c r="C354">
        <f>device._company_owner.name</f>
        <v>0</v>
      </c>
      <c r="E354" t="s">
        <v>219</v>
      </c>
    </row>
    <row r="355" spans="1:6">
      <c r="A355" t="s">
        <v>444</v>
      </c>
      <c r="C355">
        <f>device._company_owner.enabled</f>
        <v>0</v>
      </c>
      <c r="E355" t="s">
        <v>219</v>
      </c>
    </row>
    <row r="356" spans="1:6">
      <c r="A356" t="s">
        <v>445</v>
      </c>
      <c r="C356">
        <f>device._company_owner.migrated</f>
        <v>0</v>
      </c>
      <c r="E356" t="s">
        <v>219</v>
      </c>
    </row>
    <row r="357" spans="1:6">
      <c r="A357" t="s">
        <v>446</v>
      </c>
      <c r="C357">
        <f>device._company_owner.migration</f>
        <v>0</v>
      </c>
      <c r="E357" t="s">
        <v>219</v>
      </c>
    </row>
    <row r="358" spans="1:6">
      <c r="A358" t="s">
        <v>447</v>
      </c>
      <c r="C358">
        <f>device._company_owner.migration_target</f>
        <v>0</v>
      </c>
      <c r="E358" t="s">
        <v>219</v>
      </c>
    </row>
    <row r="359" spans="1:6">
      <c r="A359" t="s">
        <v>448</v>
      </c>
      <c r="C359">
        <f>device._company_owner.StartTime</f>
        <v>0</v>
      </c>
      <c r="E359" t="s">
        <v>219</v>
      </c>
    </row>
    <row r="360" spans="1:6">
      <c r="A360" t="s">
        <v>449</v>
      </c>
      <c r="C360">
        <f>device._company_owner.UpdateTime</f>
        <v>0</v>
      </c>
      <c r="E360" t="s">
        <v>219</v>
      </c>
    </row>
    <row r="361" spans="1:6">
      <c r="A361" t="s">
        <v>450</v>
      </c>
      <c r="C361">
        <f>device._company_owner.datasource</f>
        <v>0</v>
      </c>
      <c r="E361" t="s">
        <v>219</v>
      </c>
    </row>
    <row r="362" spans="1:6">
      <c r="A362" t="s">
        <v>451</v>
      </c>
      <c r="C362">
        <f>device._company_owner.street_post</f>
        <v>0</v>
      </c>
      <c r="E362" t="s">
        <v>219</v>
      </c>
    </row>
    <row r="363" spans="1:6">
      <c r="A363" t="s">
        <v>452</v>
      </c>
      <c r="C363">
        <f>device._company_owner.street_visit</f>
        <v>0</v>
      </c>
      <c r="E363" t="s">
        <v>219</v>
      </c>
    </row>
    <row r="364" spans="1:6">
      <c r="A364" t="s">
        <v>453</v>
      </c>
      <c r="C364">
        <f>device._company_owner.zip_code</f>
        <v>0</v>
      </c>
      <c r="E364" t="s">
        <v>219</v>
      </c>
    </row>
    <row r="365" spans="1:6">
      <c r="A365" t="s">
        <v>454</v>
      </c>
      <c r="C365">
        <f>device._company_owner.city</f>
        <v>0</v>
      </c>
      <c r="E365" t="s">
        <v>219</v>
      </c>
    </row>
    <row r="366" spans="1:6">
      <c r="A366" t="s">
        <v>455</v>
      </c>
      <c r="C366">
        <f>device._company_owner.notes</f>
        <v>0</v>
      </c>
      <c r="E366" t="s">
        <v>219</v>
      </c>
    </row>
    <row r="367" spans="1:6">
      <c r="A367" t="s">
        <v>456</v>
      </c>
      <c r="C367">
        <f>device._company_owner.state</f>
        <v>0</v>
      </c>
      <c r="E367" t="s">
        <v>219</v>
      </c>
    </row>
    <row r="368" spans="1:6">
      <c r="A368" t="s">
        <v>457</v>
      </c>
      <c r="C368">
        <f>device._company_owner.email</f>
        <v>0</v>
      </c>
      <c r="E368" t="s">
        <v>219</v>
      </c>
    </row>
    <row r="369" spans="1:6">
      <c r="A369" t="s">
        <v>458</v>
      </c>
      <c r="C369">
        <f>device._company_owner.customer_value</f>
        <v>0</v>
      </c>
      <c r="E369" t="s">
        <v>219</v>
      </c>
    </row>
    <row r="370" spans="1:6">
      <c r="A370" t="s">
        <v>459</v>
      </c>
      <c r="C370">
        <f>device._company_owner.area_uusimaa</f>
        <v>0</v>
      </c>
      <c r="E370" t="s">
        <v>219</v>
      </c>
    </row>
    <row r="371" spans="1:6">
      <c r="A371" t="s">
        <v>460</v>
      </c>
      <c r="C371">
        <f>device._company_owner.area_varsinais</f>
        <v>0</v>
      </c>
      <c r="E371" t="s">
        <v>219</v>
      </c>
    </row>
    <row r="372" spans="1:6">
      <c r="A372" t="s">
        <v>461</v>
      </c>
      <c r="C372">
        <f>device._company_owner.area_kymenlaakso</f>
        <v>0</v>
      </c>
      <c r="E372" t="s">
        <v>219</v>
      </c>
    </row>
    <row r="373" spans="1:6">
      <c r="A373" t="s">
        <v>462</v>
      </c>
      <c r="C373">
        <f>device._company_owner.area_hame</f>
        <v>0</v>
      </c>
      <c r="E373" t="s">
        <v>219</v>
      </c>
    </row>
    <row r="374" spans="1:6">
      <c r="A374" t="s">
        <v>463</v>
      </c>
      <c r="C374">
        <f>device._company_owner.area_satakunta</f>
        <v>0</v>
      </c>
      <c r="E374" t="s">
        <v>219</v>
      </c>
    </row>
    <row r="375" spans="1:6">
      <c r="A375" t="s">
        <v>464</v>
      </c>
      <c r="C375">
        <f>device._company_owner.area_pohjanmaa</f>
        <v>0</v>
      </c>
      <c r="E375" t="s">
        <v>219</v>
      </c>
    </row>
    <row r="376" spans="1:6">
      <c r="A376" t="s">
        <v>465</v>
      </c>
      <c r="C376">
        <f>device._company_owner.area_pohjois</f>
        <v>0</v>
      </c>
      <c r="E376" t="s">
        <v>219</v>
      </c>
    </row>
    <row r="377" spans="1:6">
      <c r="A377" t="s">
        <v>466</v>
      </c>
      <c r="C377">
        <f>device._company_owner.area_lappi</f>
        <v>0</v>
      </c>
      <c r="E377" t="s">
        <v>219</v>
      </c>
    </row>
    <row r="378" spans="1:6">
      <c r="A378" t="s">
        <v>467</v>
      </c>
      <c r="C378">
        <f>device._company_owner.devgroup_paine</f>
        <v>0</v>
      </c>
      <c r="E378" t="s">
        <v>219</v>
      </c>
    </row>
    <row r="379" spans="1:6">
      <c r="A379" t="s">
        <v>468</v>
      </c>
      <c r="C379">
        <f>device._company_owner.devgroup_kemikaali</f>
        <v>0</v>
      </c>
      <c r="E379" t="s">
        <v>219</v>
      </c>
    </row>
    <row r="380" spans="1:6">
      <c r="A380" t="s">
        <v>469</v>
      </c>
      <c r="C380">
        <f>device._company_owner.devgroup_nestekaasu</f>
        <v>0</v>
      </c>
      <c r="E380" t="s">
        <v>219</v>
      </c>
    </row>
    <row r="381" spans="1:6">
      <c r="A381" t="s">
        <v>470</v>
      </c>
      <c r="C381">
        <f>device._company_owner.devgroup_maakaasu</f>
        <v>0</v>
      </c>
      <c r="E381" t="s">
        <v>219</v>
      </c>
    </row>
    <row r="382" spans="1:6">
      <c r="A382" t="s">
        <v>471</v>
      </c>
      <c r="C382">
        <f>device._company_owner.devgroup_biokaasu</f>
        <v>0</v>
      </c>
      <c r="E382" t="s">
        <v>219</v>
      </c>
    </row>
    <row r="383" spans="1:6">
      <c r="A383" t="s">
        <v>472</v>
      </c>
      <c r="C383">
        <f>device._company_owner.devgroup_vakadr</f>
        <v>0</v>
      </c>
      <c r="E383" t="s">
        <v>219</v>
      </c>
    </row>
    <row r="384" spans="1:6">
      <c r="A384" t="s">
        <v>473</v>
      </c>
      <c r="C384">
        <f>device._company_owner.devgroup_a2</f>
        <v>0</v>
      </c>
      <c r="E384" t="s">
        <v>219</v>
      </c>
    </row>
    <row r="385" spans="1:6">
      <c r="A385" t="s">
        <v>474</v>
      </c>
      <c r="C385">
        <f>device._company_owner.devgroup_g</f>
        <v>0</v>
      </c>
      <c r="E385" t="s">
        <v>219</v>
      </c>
    </row>
    <row r="386" spans="1:6">
      <c r="A386" t="s">
        <v>475</v>
      </c>
      <c r="C386">
        <f>device._company_owner.devgroup_other</f>
        <v>0</v>
      </c>
      <c r="E386" t="s">
        <v>219</v>
      </c>
    </row>
    <row r="387" spans="1:6">
      <c r="A387" t="s">
        <v>476</v>
      </c>
      <c r="C387">
        <f>device._company_owner.role_manufacturer</f>
        <v>0</v>
      </c>
      <c r="E387" t="s">
        <v>219</v>
      </c>
    </row>
    <row r="388" spans="1:6">
      <c r="A388" t="s">
        <v>477</v>
      </c>
      <c r="C388">
        <f>device._company_owner.role_energyplant</f>
        <v>0</v>
      </c>
      <c r="E388" t="s">
        <v>219</v>
      </c>
    </row>
    <row r="389" spans="1:6">
      <c r="A389" t="s">
        <v>478</v>
      </c>
      <c r="C389">
        <f>device._company_owner.role_government</f>
        <v>0</v>
      </c>
      <c r="E389" t="s">
        <v>219</v>
      </c>
    </row>
    <row r="390" spans="1:6">
      <c r="A390" t="s">
        <v>479</v>
      </c>
      <c r="C390">
        <f>device._company_owner.role_processplant</f>
        <v>0</v>
      </c>
      <c r="E390" t="s">
        <v>219</v>
      </c>
    </row>
    <row r="391" spans="1:6">
      <c r="A391" t="s">
        <v>480</v>
      </c>
      <c r="C391">
        <f>device._company_owner.role_transport</f>
        <v>0</v>
      </c>
      <c r="E391" t="s">
        <v>219</v>
      </c>
    </row>
    <row r="392" spans="1:6">
      <c r="A392" t="s">
        <v>481</v>
      </c>
      <c r="C392">
        <f>device._company_owner.inspection_institution</f>
        <v>0</v>
      </c>
      <c r="E392" t="s">
        <v>219</v>
      </c>
    </row>
    <row r="393" spans="1:6">
      <c r="A393" t="s">
        <v>482</v>
      </c>
      <c r="C393">
        <f>device._company_holder.uuid</f>
        <v>0</v>
      </c>
      <c r="E393" t="s">
        <v>219</v>
      </c>
    </row>
    <row r="394" spans="1:6">
      <c r="A394" t="s">
        <v>483</v>
      </c>
      <c r="C394">
        <f>device._company_holder.aindex</f>
        <v>0</v>
      </c>
      <c r="E394" t="s">
        <v>219</v>
      </c>
    </row>
    <row r="395" spans="1:6">
      <c r="A395" t="s">
        <v>484</v>
      </c>
      <c r="C395">
        <f>device._company_holder.name</f>
        <v>0</v>
      </c>
      <c r="E395" t="s">
        <v>219</v>
      </c>
    </row>
    <row r="396" spans="1:6">
      <c r="A396" t="s">
        <v>485</v>
      </c>
      <c r="C396">
        <f>device._company_holder.enabled</f>
        <v>0</v>
      </c>
      <c r="E396" t="s">
        <v>219</v>
      </c>
    </row>
    <row r="397" spans="1:6">
      <c r="A397" t="s">
        <v>486</v>
      </c>
      <c r="C397">
        <f>device._company_holder.migrated</f>
        <v>0</v>
      </c>
      <c r="E397" t="s">
        <v>219</v>
      </c>
    </row>
    <row r="398" spans="1:6">
      <c r="A398" t="s">
        <v>487</v>
      </c>
      <c r="C398">
        <f>device._company_holder.migration</f>
        <v>0</v>
      </c>
      <c r="E398" t="s">
        <v>219</v>
      </c>
    </row>
    <row r="399" spans="1:6">
      <c r="A399" t="s">
        <v>488</v>
      </c>
      <c r="C399">
        <f>device._company_holder.migration_target</f>
        <v>0</v>
      </c>
      <c r="E399" t="s">
        <v>219</v>
      </c>
    </row>
    <row r="400" spans="1:6">
      <c r="A400" t="s">
        <v>489</v>
      </c>
      <c r="C400">
        <f>device._company_holder.StartTime</f>
        <v>0</v>
      </c>
      <c r="E400" t="s">
        <v>219</v>
      </c>
    </row>
    <row r="401" spans="1:6">
      <c r="A401" t="s">
        <v>490</v>
      </c>
      <c r="C401">
        <f>device._company_holder.UpdateTime</f>
        <v>0</v>
      </c>
      <c r="E401" t="s">
        <v>219</v>
      </c>
    </row>
    <row r="402" spans="1:6">
      <c r="A402" t="s">
        <v>491</v>
      </c>
      <c r="C402">
        <f>device._company_holder.datasource</f>
        <v>0</v>
      </c>
      <c r="E402" t="s">
        <v>219</v>
      </c>
    </row>
    <row r="403" spans="1:6">
      <c r="A403" t="s">
        <v>492</v>
      </c>
      <c r="C403">
        <f>device._company_holder.street_post</f>
        <v>0</v>
      </c>
      <c r="E403" t="s">
        <v>219</v>
      </c>
    </row>
    <row r="404" spans="1:6">
      <c r="A404" t="s">
        <v>493</v>
      </c>
      <c r="C404">
        <f>device._company_holder.street_visit</f>
        <v>0</v>
      </c>
      <c r="E404" t="s">
        <v>219</v>
      </c>
    </row>
    <row r="405" spans="1:6">
      <c r="A405" t="s">
        <v>494</v>
      </c>
      <c r="C405">
        <f>device._company_holder.zip_code</f>
        <v>0</v>
      </c>
      <c r="E405" t="s">
        <v>219</v>
      </c>
    </row>
    <row r="406" spans="1:6">
      <c r="A406" t="s">
        <v>495</v>
      </c>
      <c r="C406">
        <f>device._company_holder.city</f>
        <v>0</v>
      </c>
      <c r="E406" t="s">
        <v>219</v>
      </c>
    </row>
    <row r="407" spans="1:6">
      <c r="A407" t="s">
        <v>496</v>
      </c>
      <c r="C407">
        <f>device._company_holder.notes</f>
        <v>0</v>
      </c>
      <c r="E407" t="s">
        <v>219</v>
      </c>
    </row>
    <row r="408" spans="1:6">
      <c r="A408" t="s">
        <v>497</v>
      </c>
      <c r="C408">
        <f>device._company_holder.state</f>
        <v>0</v>
      </c>
      <c r="E408" t="s">
        <v>219</v>
      </c>
    </row>
    <row r="409" spans="1:6">
      <c r="A409" t="s">
        <v>498</v>
      </c>
      <c r="C409">
        <f>device._company_holder.email</f>
        <v>0</v>
      </c>
      <c r="E409" t="s">
        <v>219</v>
      </c>
    </row>
    <row r="410" spans="1:6">
      <c r="A410" t="s">
        <v>499</v>
      </c>
      <c r="C410">
        <f>device._company_holder.customer_value</f>
        <v>0</v>
      </c>
      <c r="E410" t="s">
        <v>219</v>
      </c>
    </row>
    <row r="411" spans="1:6">
      <c r="A411" t="s">
        <v>500</v>
      </c>
      <c r="C411">
        <f>device._company_holder.area_uusimaa</f>
        <v>0</v>
      </c>
      <c r="E411" t="s">
        <v>219</v>
      </c>
    </row>
    <row r="412" spans="1:6">
      <c r="A412" t="s">
        <v>501</v>
      </c>
      <c r="C412">
        <f>device._company_holder.area_varsinais</f>
        <v>0</v>
      </c>
      <c r="E412" t="s">
        <v>219</v>
      </c>
    </row>
    <row r="413" spans="1:6">
      <c r="A413" t="s">
        <v>502</v>
      </c>
      <c r="C413">
        <f>device._company_holder.area_kymenlaakso</f>
        <v>0</v>
      </c>
      <c r="E413" t="s">
        <v>219</v>
      </c>
    </row>
    <row r="414" spans="1:6">
      <c r="A414" t="s">
        <v>503</v>
      </c>
      <c r="C414">
        <f>device._company_holder.area_hame</f>
        <v>0</v>
      </c>
      <c r="E414" t="s">
        <v>219</v>
      </c>
    </row>
    <row r="415" spans="1:6">
      <c r="A415" t="s">
        <v>504</v>
      </c>
      <c r="C415">
        <f>device._company_holder.area_satakunta</f>
        <v>0</v>
      </c>
      <c r="E415" t="s">
        <v>219</v>
      </c>
    </row>
    <row r="416" spans="1:6">
      <c r="A416" t="s">
        <v>505</v>
      </c>
      <c r="C416">
        <f>device._company_holder.area_pohjanmaa</f>
        <v>0</v>
      </c>
      <c r="E416" t="s">
        <v>219</v>
      </c>
    </row>
    <row r="417" spans="1:6">
      <c r="A417" t="s">
        <v>506</v>
      </c>
      <c r="C417">
        <f>device._company_holder.area_pohjois</f>
        <v>0</v>
      </c>
      <c r="E417" t="s">
        <v>219</v>
      </c>
    </row>
    <row r="418" spans="1:6">
      <c r="A418" t="s">
        <v>507</v>
      </c>
      <c r="C418">
        <f>device._company_holder.area_lappi</f>
        <v>0</v>
      </c>
      <c r="E418" t="s">
        <v>219</v>
      </c>
    </row>
    <row r="419" spans="1:6">
      <c r="A419" t="s">
        <v>508</v>
      </c>
      <c r="C419">
        <f>device._company_holder.devgroup_paine</f>
        <v>0</v>
      </c>
      <c r="E419" t="s">
        <v>219</v>
      </c>
    </row>
    <row r="420" spans="1:6">
      <c r="A420" t="s">
        <v>509</v>
      </c>
      <c r="C420">
        <f>device._company_holder.devgroup_kemikaali</f>
        <v>0</v>
      </c>
      <c r="E420" t="s">
        <v>219</v>
      </c>
    </row>
    <row r="421" spans="1:6">
      <c r="A421" t="s">
        <v>510</v>
      </c>
      <c r="C421">
        <f>device._company_holder.devgroup_nestekaasu</f>
        <v>0</v>
      </c>
      <c r="E421" t="s">
        <v>219</v>
      </c>
    </row>
    <row r="422" spans="1:6">
      <c r="A422" t="s">
        <v>511</v>
      </c>
      <c r="C422">
        <f>device._company_holder.devgroup_maakaasu</f>
        <v>0</v>
      </c>
      <c r="E422" t="s">
        <v>219</v>
      </c>
    </row>
    <row r="423" spans="1:6">
      <c r="A423" t="s">
        <v>512</v>
      </c>
      <c r="C423">
        <f>device._company_holder.devgroup_biokaasu</f>
        <v>0</v>
      </c>
      <c r="E423" t="s">
        <v>219</v>
      </c>
    </row>
    <row r="424" spans="1:6">
      <c r="A424" t="s">
        <v>513</v>
      </c>
      <c r="C424">
        <f>device._company_holder.devgroup_vakadr</f>
        <v>0</v>
      </c>
      <c r="E424" t="s">
        <v>219</v>
      </c>
    </row>
    <row r="425" spans="1:6">
      <c r="A425" t="s">
        <v>514</v>
      </c>
      <c r="C425">
        <f>device._company_holder.devgroup_a2</f>
        <v>0</v>
      </c>
      <c r="E425" t="s">
        <v>219</v>
      </c>
    </row>
    <row r="426" spans="1:6">
      <c r="A426" t="s">
        <v>515</v>
      </c>
      <c r="C426">
        <f>device._company_holder.devgroup_g</f>
        <v>0</v>
      </c>
      <c r="E426" t="s">
        <v>219</v>
      </c>
    </row>
    <row r="427" spans="1:6">
      <c r="A427" t="s">
        <v>516</v>
      </c>
      <c r="C427">
        <f>device._company_holder.devgroup_other</f>
        <v>0</v>
      </c>
      <c r="E427" t="s">
        <v>219</v>
      </c>
    </row>
    <row r="428" spans="1:6">
      <c r="A428" t="s">
        <v>517</v>
      </c>
      <c r="C428">
        <f>device._company_holder.role_manufacturer</f>
        <v>0</v>
      </c>
      <c r="E428" t="s">
        <v>219</v>
      </c>
    </row>
    <row r="429" spans="1:6">
      <c r="A429" t="s">
        <v>518</v>
      </c>
      <c r="C429">
        <f>device._company_holder.role_energyplant</f>
        <v>0</v>
      </c>
      <c r="E429" t="s">
        <v>219</v>
      </c>
    </row>
    <row r="430" spans="1:6">
      <c r="A430" t="s">
        <v>519</v>
      </c>
      <c r="C430">
        <f>device._company_holder.role_government</f>
        <v>0</v>
      </c>
      <c r="E430" t="s">
        <v>219</v>
      </c>
    </row>
    <row r="431" spans="1:6">
      <c r="A431" t="s">
        <v>520</v>
      </c>
      <c r="C431">
        <f>device._company_holder.role_processplant</f>
        <v>0</v>
      </c>
      <c r="E431" t="s">
        <v>219</v>
      </c>
    </row>
    <row r="432" spans="1:6">
      <c r="A432" t="s">
        <v>521</v>
      </c>
      <c r="C432">
        <f>device._company_holder.role_transport</f>
        <v>0</v>
      </c>
      <c r="E432" t="s">
        <v>219</v>
      </c>
    </row>
    <row r="433" spans="1:6">
      <c r="A433" t="s">
        <v>522</v>
      </c>
      <c r="C433">
        <f>device._company_holder.inspection_institution</f>
        <v>0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C500">
        <f>device._person_supervisor.uuid</f>
        <v>0</v>
      </c>
      <c r="E500" t="s">
        <v>219</v>
      </c>
    </row>
    <row r="501" spans="1:6">
      <c r="A501" t="s">
        <v>590</v>
      </c>
      <c r="C501">
        <f>device._person_supervisor.aindex</f>
        <v>0</v>
      </c>
      <c r="E501" t="s">
        <v>219</v>
      </c>
    </row>
    <row r="502" spans="1:6">
      <c r="A502" t="s">
        <v>591</v>
      </c>
      <c r="C502">
        <f>device._person_supervisor.company</f>
        <v>0</v>
      </c>
      <c r="E502" t="s">
        <v>219</v>
      </c>
    </row>
    <row r="503" spans="1:6">
      <c r="A503" t="s">
        <v>592</v>
      </c>
      <c r="C503">
        <f>device._person_supervisor.migration</f>
        <v>0</v>
      </c>
      <c r="E503" t="s">
        <v>219</v>
      </c>
    </row>
    <row r="504" spans="1:6">
      <c r="A504" t="s">
        <v>593</v>
      </c>
      <c r="C504">
        <f>device._person_supervisor.migration_target</f>
        <v>0</v>
      </c>
      <c r="E504" t="s">
        <v>219</v>
      </c>
    </row>
    <row r="505" spans="1:6">
      <c r="A505" t="s">
        <v>594</v>
      </c>
      <c r="C505">
        <f>device._person_supervisor.company_role</f>
        <v>0</v>
      </c>
      <c r="E505" t="s">
        <v>219</v>
      </c>
    </row>
    <row r="506" spans="1:6">
      <c r="A506" t="s">
        <v>595</v>
      </c>
      <c r="C506">
        <f>device._person_supervisor.name</f>
        <v>0</v>
      </c>
      <c r="E506" t="s">
        <v>219</v>
      </c>
    </row>
    <row r="507" spans="1:6">
      <c r="A507" t="s">
        <v>596</v>
      </c>
      <c r="C507">
        <f>device._person_supervisor.shorthand</f>
        <v>0</v>
      </c>
      <c r="E507" t="s">
        <v>219</v>
      </c>
    </row>
    <row r="508" spans="1:6">
      <c r="A508" t="s">
        <v>597</v>
      </c>
      <c r="C508">
        <f>device._person_supervisor.email</f>
        <v>0</v>
      </c>
      <c r="E508" t="s">
        <v>219</v>
      </c>
    </row>
    <row r="509" spans="1:6">
      <c r="A509" t="s">
        <v>598</v>
      </c>
      <c r="C509">
        <f>device._person_supervisor.phonenumber_cc</f>
        <v>0</v>
      </c>
      <c r="E509" t="s">
        <v>219</v>
      </c>
    </row>
    <row r="510" spans="1:6">
      <c r="A510" t="s">
        <v>599</v>
      </c>
      <c r="C510">
        <f>device._person_supervisor.phonenumber</f>
        <v>0</v>
      </c>
      <c r="E510" t="s">
        <v>219</v>
      </c>
    </row>
    <row r="511" spans="1:6">
      <c r="A511" t="s">
        <v>600</v>
      </c>
      <c r="C511">
        <f>device._person_supervisor.jobtitle</f>
        <v>0</v>
      </c>
      <c r="E511" t="s">
        <v>219</v>
      </c>
    </row>
    <row r="512" spans="1:6">
      <c r="A512" t="s">
        <v>601</v>
      </c>
      <c r="C512">
        <f>device._person_supervisor.qualification</f>
        <v>0</v>
      </c>
      <c r="E512" t="s">
        <v>219</v>
      </c>
    </row>
    <row r="513" spans="1:6">
      <c r="A513" t="s">
        <v>602</v>
      </c>
      <c r="C513">
        <f>device._person_supervisor.qualification_code</f>
        <v>0</v>
      </c>
      <c r="E513" t="s">
        <v>219</v>
      </c>
    </row>
    <row r="514" spans="1:6">
      <c r="A514" t="s">
        <v>603</v>
      </c>
      <c r="C514">
        <f>device._person_supervisor.role</f>
        <v>0</v>
      </c>
      <c r="E514" t="s">
        <v>219</v>
      </c>
    </row>
    <row r="515" spans="1:6">
      <c r="A515" t="s">
        <v>604</v>
      </c>
      <c r="C515">
        <f>device._person_supervisor.role_code</f>
        <v>0</v>
      </c>
      <c r="E515" t="s">
        <v>219</v>
      </c>
    </row>
    <row r="516" spans="1:6">
      <c r="A516" t="s">
        <v>605</v>
      </c>
      <c r="C516">
        <f>device._person_supervisor.delivery_address</f>
        <v>0</v>
      </c>
      <c r="E516" t="s">
        <v>219</v>
      </c>
    </row>
    <row r="517" spans="1:6">
      <c r="A517" t="s">
        <v>606</v>
      </c>
      <c r="C517">
        <f>device._person_supervisor.InsertTime</f>
        <v>0</v>
      </c>
      <c r="E517" t="s">
        <v>219</v>
      </c>
    </row>
    <row r="518" spans="1:6">
      <c r="A518" t="s">
        <v>607</v>
      </c>
      <c r="C518">
        <f>device._person_supervisor.UpdateTime</f>
        <v>0</v>
      </c>
      <c r="E518" t="s">
        <v>219</v>
      </c>
    </row>
    <row r="519" spans="1:6">
      <c r="A519" t="s">
        <v>608</v>
      </c>
      <c r="C519">
        <f>device._person_supervisor.migrated</f>
        <v>0</v>
      </c>
      <c r="E519" t="s">
        <v>219</v>
      </c>
    </row>
    <row r="520" spans="1:6">
      <c r="A520" t="s">
        <v>609</v>
      </c>
      <c r="C520">
        <f>device._person_supervisor.competence_lpg_supervisor</f>
        <v>0</v>
      </c>
      <c r="E520" t="s">
        <v>219</v>
      </c>
    </row>
    <row r="521" spans="1:6">
      <c r="A521" t="s">
        <v>610</v>
      </c>
      <c r="C521">
        <f>device._person_supervisor.competence_lpg_operator</f>
        <v>0</v>
      </c>
      <c r="E521" t="s">
        <v>219</v>
      </c>
    </row>
    <row r="522" spans="1:6">
      <c r="A522" t="s">
        <v>611</v>
      </c>
      <c r="C522">
        <f>device._person_supervisor.enabled</f>
        <v>0</v>
      </c>
      <c r="E522" t="s">
        <v>219</v>
      </c>
    </row>
    <row r="523" spans="1:6">
      <c r="A523" t="s">
        <v>612</v>
      </c>
      <c r="C523">
        <f>device._person_supervisor.birth_date</f>
        <v>0</v>
      </c>
      <c r="E523" t="s">
        <v>219</v>
      </c>
    </row>
    <row r="524" spans="1:6">
      <c r="A524" t="s">
        <v>613</v>
      </c>
      <c r="C524">
        <f>device._person_supervisor.birth_place</f>
        <v>0</v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C566">
        <f>device._person_supervisor_alt.uuid</f>
        <v>0</v>
      </c>
      <c r="E566" t="s">
        <v>219</v>
      </c>
    </row>
    <row r="567" spans="1:6">
      <c r="A567" t="s">
        <v>656</v>
      </c>
      <c r="C567">
        <f>device._person_supervisor_alt.aindex</f>
        <v>0</v>
      </c>
      <c r="E567" t="s">
        <v>219</v>
      </c>
    </row>
    <row r="568" spans="1:6">
      <c r="A568" t="s">
        <v>657</v>
      </c>
      <c r="C568">
        <f>device._person_supervisor_alt.company</f>
        <v>0</v>
      </c>
      <c r="E568" t="s">
        <v>219</v>
      </c>
    </row>
    <row r="569" spans="1:6">
      <c r="A569" t="s">
        <v>658</v>
      </c>
      <c r="C569">
        <f>device._person_supervisor_alt.migration</f>
        <v>0</v>
      </c>
      <c r="E569" t="s">
        <v>219</v>
      </c>
    </row>
    <row r="570" spans="1:6">
      <c r="A570" t="s">
        <v>659</v>
      </c>
      <c r="C570">
        <f>device._person_supervisor_alt.migration_target</f>
        <v>0</v>
      </c>
      <c r="E570" t="s">
        <v>219</v>
      </c>
    </row>
    <row r="571" spans="1:6">
      <c r="A571" t="s">
        <v>660</v>
      </c>
      <c r="C571">
        <f>device._person_supervisor_alt.company_role</f>
        <v>0</v>
      </c>
      <c r="E571" t="s">
        <v>219</v>
      </c>
    </row>
    <row r="572" spans="1:6">
      <c r="A572" t="s">
        <v>661</v>
      </c>
      <c r="C572">
        <f>device._person_supervisor_alt.name</f>
        <v>0</v>
      </c>
      <c r="E572" t="s">
        <v>219</v>
      </c>
    </row>
    <row r="573" spans="1:6">
      <c r="A573" t="s">
        <v>662</v>
      </c>
      <c r="C573">
        <f>device._person_supervisor_alt.shorthand</f>
        <v>0</v>
      </c>
      <c r="E573" t="s">
        <v>219</v>
      </c>
    </row>
    <row r="574" spans="1:6">
      <c r="A574" t="s">
        <v>663</v>
      </c>
      <c r="C574">
        <f>device._person_supervisor_alt.email</f>
        <v>0</v>
      </c>
      <c r="E574" t="s">
        <v>219</v>
      </c>
    </row>
    <row r="575" spans="1:6">
      <c r="A575" t="s">
        <v>664</v>
      </c>
      <c r="C575">
        <f>device._person_supervisor_alt.phonenumber_cc</f>
        <v>0</v>
      </c>
      <c r="E575" t="s">
        <v>219</v>
      </c>
    </row>
    <row r="576" spans="1:6">
      <c r="A576" t="s">
        <v>665</v>
      </c>
      <c r="C576">
        <f>device._person_supervisor_alt.phonenumber</f>
        <v>0</v>
      </c>
      <c r="E576" t="s">
        <v>219</v>
      </c>
    </row>
    <row r="577" spans="1:6">
      <c r="A577" t="s">
        <v>666</v>
      </c>
      <c r="C577">
        <f>device._person_supervisor_alt.jobtitle</f>
        <v>0</v>
      </c>
      <c r="E577" t="s">
        <v>219</v>
      </c>
    </row>
    <row r="578" spans="1:6">
      <c r="A578" t="s">
        <v>667</v>
      </c>
      <c r="C578">
        <f>device._person_supervisor_alt.qualification</f>
        <v>0</v>
      </c>
      <c r="E578" t="s">
        <v>219</v>
      </c>
    </row>
    <row r="579" spans="1:6">
      <c r="A579" t="s">
        <v>668</v>
      </c>
      <c r="C579">
        <f>device._person_supervisor_alt.qualification_code</f>
        <v>0</v>
      </c>
      <c r="E579" t="s">
        <v>219</v>
      </c>
    </row>
    <row r="580" spans="1:6">
      <c r="A580" t="s">
        <v>669</v>
      </c>
      <c r="C580">
        <f>device._person_supervisor_alt.role</f>
        <v>0</v>
      </c>
      <c r="E580" t="s">
        <v>219</v>
      </c>
    </row>
    <row r="581" spans="1:6">
      <c r="A581" t="s">
        <v>670</v>
      </c>
      <c r="C581">
        <f>device._person_supervisor_alt.role_code</f>
        <v>0</v>
      </c>
      <c r="E581" t="s">
        <v>219</v>
      </c>
    </row>
    <row r="582" spans="1:6">
      <c r="A582" t="s">
        <v>671</v>
      </c>
      <c r="C582">
        <f>device._person_supervisor_alt.delivery_address</f>
        <v>0</v>
      </c>
      <c r="E582" t="s">
        <v>219</v>
      </c>
    </row>
    <row r="583" spans="1:6">
      <c r="A583" t="s">
        <v>672</v>
      </c>
      <c r="C583">
        <f>device._person_supervisor_alt.InsertTime</f>
        <v>0</v>
      </c>
      <c r="E583" t="s">
        <v>219</v>
      </c>
    </row>
    <row r="584" spans="1:6">
      <c r="A584" t="s">
        <v>673</v>
      </c>
      <c r="C584">
        <f>device._person_supervisor_alt.UpdateTime</f>
        <v>0</v>
      </c>
      <c r="E584" t="s">
        <v>219</v>
      </c>
    </row>
    <row r="585" spans="1:6">
      <c r="A585" t="s">
        <v>674</v>
      </c>
      <c r="C585">
        <f>device._person_supervisor_alt.migrated</f>
        <v>0</v>
      </c>
      <c r="E585" t="s">
        <v>219</v>
      </c>
    </row>
    <row r="586" spans="1:6">
      <c r="A586" t="s">
        <v>675</v>
      </c>
      <c r="C586">
        <f>device._person_supervisor_alt.competence_lpg_supervisor</f>
        <v>0</v>
      </c>
      <c r="E586" t="s">
        <v>219</v>
      </c>
    </row>
    <row r="587" spans="1:6">
      <c r="A587" t="s">
        <v>676</v>
      </c>
      <c r="C587">
        <f>device._person_supervisor_alt.competence_lpg_operator</f>
        <v>0</v>
      </c>
      <c r="E587" t="s">
        <v>219</v>
      </c>
    </row>
    <row r="588" spans="1:6">
      <c r="A588" t="s">
        <v>677</v>
      </c>
      <c r="C588">
        <f>device._person_supervisor_alt.enabled</f>
        <v>0</v>
      </c>
      <c r="E588" t="s">
        <v>219</v>
      </c>
    </row>
    <row r="589" spans="1:6">
      <c r="A589" t="s">
        <v>678</v>
      </c>
      <c r="C589">
        <f>device._person_supervisor_alt.birth_date</f>
        <v>0</v>
      </c>
      <c r="E589" t="s">
        <v>219</v>
      </c>
    </row>
    <row r="590" spans="1:6">
      <c r="A590" t="s">
        <v>679</v>
      </c>
      <c r="C590">
        <f>device._person_supervisor_alt.birth_place</f>
        <v>0</v>
      </c>
      <c r="E590" t="s">
        <v>219</v>
      </c>
    </row>
    <row r="591" spans="1:6">
      <c r="A591" t="s">
        <v>680</v>
      </c>
      <c r="C591">
        <f>device._person_supervisor_alt._company.uuid</f>
        <v>0</v>
      </c>
      <c r="E591" t="s">
        <v>219</v>
      </c>
    </row>
    <row r="592" spans="1:6">
      <c r="A592" t="s">
        <v>681</v>
      </c>
      <c r="C592">
        <f>device._person_supervisor_alt._company.aindex</f>
        <v>0</v>
      </c>
      <c r="E592" t="s">
        <v>219</v>
      </c>
    </row>
    <row r="593" spans="1:6">
      <c r="A593" t="s">
        <v>682</v>
      </c>
      <c r="C593">
        <f>device._person_supervisor_alt._company.name</f>
        <v>0</v>
      </c>
      <c r="E593" t="s">
        <v>219</v>
      </c>
    </row>
    <row r="594" spans="1:6">
      <c r="A594" t="s">
        <v>683</v>
      </c>
      <c r="C594">
        <f>device._person_supervisor_alt._company.enabled</f>
        <v>0</v>
      </c>
      <c r="E594" t="s">
        <v>219</v>
      </c>
    </row>
    <row r="595" spans="1:6">
      <c r="A595" t="s">
        <v>684</v>
      </c>
      <c r="C595">
        <f>device._person_supervisor_alt._company.migrated</f>
        <v>0</v>
      </c>
      <c r="E595" t="s">
        <v>219</v>
      </c>
    </row>
    <row r="596" spans="1:6">
      <c r="A596" t="s">
        <v>685</v>
      </c>
      <c r="C596">
        <f>device._person_supervisor_alt._company.migration</f>
        <v>0</v>
      </c>
      <c r="E596" t="s">
        <v>219</v>
      </c>
    </row>
    <row r="597" spans="1:6">
      <c r="A597" t="s">
        <v>686</v>
      </c>
      <c r="C597">
        <f>device._person_supervisor_alt._company.migration_target</f>
        <v>0</v>
      </c>
      <c r="E597" t="s">
        <v>219</v>
      </c>
    </row>
    <row r="598" spans="1:6">
      <c r="A598" t="s">
        <v>687</v>
      </c>
      <c r="C598">
        <f>device._person_supervisor_alt._company.StartTime</f>
        <v>0</v>
      </c>
      <c r="E598" t="s">
        <v>219</v>
      </c>
    </row>
    <row r="599" spans="1:6">
      <c r="A599" t="s">
        <v>688</v>
      </c>
      <c r="C599">
        <f>device._person_supervisor_alt._company.UpdateTime</f>
        <v>0</v>
      </c>
      <c r="E599" t="s">
        <v>219</v>
      </c>
    </row>
    <row r="600" spans="1:6">
      <c r="A600" t="s">
        <v>689</v>
      </c>
      <c r="C600">
        <f>device._person_supervisor_alt._company.datasource</f>
        <v>0</v>
      </c>
      <c r="E600" t="s">
        <v>219</v>
      </c>
    </row>
    <row r="601" spans="1:6">
      <c r="A601" t="s">
        <v>690</v>
      </c>
      <c r="C601">
        <f>device._person_supervisor_alt._company.street_post</f>
        <v>0</v>
      </c>
      <c r="E601" t="s">
        <v>219</v>
      </c>
    </row>
    <row r="602" spans="1:6">
      <c r="A602" t="s">
        <v>691</v>
      </c>
      <c r="C602">
        <f>device._person_supervisor_alt._company.street_visit</f>
        <v>0</v>
      </c>
      <c r="E602" t="s">
        <v>219</v>
      </c>
    </row>
    <row r="603" spans="1:6">
      <c r="A603" t="s">
        <v>692</v>
      </c>
      <c r="C603">
        <f>device._person_supervisor_alt._company.zip_code</f>
        <v>0</v>
      </c>
      <c r="E603" t="s">
        <v>219</v>
      </c>
    </row>
    <row r="604" spans="1:6">
      <c r="A604" t="s">
        <v>693</v>
      </c>
      <c r="C604">
        <f>device._person_supervisor_alt._company.city</f>
        <v>0</v>
      </c>
      <c r="E604" t="s">
        <v>219</v>
      </c>
    </row>
    <row r="605" spans="1:6">
      <c r="A605" t="s">
        <v>694</v>
      </c>
      <c r="C605">
        <f>device._person_supervisor_alt._company.notes</f>
        <v>0</v>
      </c>
      <c r="E605" t="s">
        <v>219</v>
      </c>
    </row>
    <row r="606" spans="1:6">
      <c r="A606" t="s">
        <v>695</v>
      </c>
      <c r="C606">
        <f>device._person_supervisor_alt._company.state</f>
        <v>0</v>
      </c>
      <c r="E606" t="s">
        <v>219</v>
      </c>
    </row>
    <row r="607" spans="1:6">
      <c r="A607" t="s">
        <v>696</v>
      </c>
      <c r="C607">
        <f>device._person_supervisor_alt._company.email</f>
        <v>0</v>
      </c>
      <c r="E607" t="s">
        <v>219</v>
      </c>
    </row>
    <row r="608" spans="1:6">
      <c r="A608" t="s">
        <v>697</v>
      </c>
      <c r="C608">
        <f>device._person_supervisor_alt._company.customer_value</f>
        <v>0</v>
      </c>
      <c r="E608" t="s">
        <v>219</v>
      </c>
    </row>
    <row r="609" spans="1:6">
      <c r="A609" t="s">
        <v>698</v>
      </c>
      <c r="C609">
        <f>device._person_supervisor_alt._company.area_uusimaa</f>
        <v>0</v>
      </c>
      <c r="E609" t="s">
        <v>219</v>
      </c>
    </row>
    <row r="610" spans="1:6">
      <c r="A610" t="s">
        <v>699</v>
      </c>
      <c r="C610">
        <f>device._person_supervisor_alt._company.area_varsinais</f>
        <v>0</v>
      </c>
      <c r="E610" t="s">
        <v>219</v>
      </c>
    </row>
    <row r="611" spans="1:6">
      <c r="A611" t="s">
        <v>700</v>
      </c>
      <c r="C611">
        <f>device._person_supervisor_alt._company.area_kymenlaakso</f>
        <v>0</v>
      </c>
      <c r="E611" t="s">
        <v>219</v>
      </c>
    </row>
    <row r="612" spans="1:6">
      <c r="A612" t="s">
        <v>701</v>
      </c>
      <c r="C612">
        <f>device._person_supervisor_alt._company.area_hame</f>
        <v>0</v>
      </c>
      <c r="E612" t="s">
        <v>219</v>
      </c>
    </row>
    <row r="613" spans="1:6">
      <c r="A613" t="s">
        <v>702</v>
      </c>
      <c r="C613">
        <f>device._person_supervisor_alt._company.area_satakunta</f>
        <v>0</v>
      </c>
      <c r="E613" t="s">
        <v>219</v>
      </c>
    </row>
    <row r="614" spans="1:6">
      <c r="A614" t="s">
        <v>703</v>
      </c>
      <c r="C614">
        <f>device._person_supervisor_alt._company.area_pohjanmaa</f>
        <v>0</v>
      </c>
      <c r="E614" t="s">
        <v>219</v>
      </c>
    </row>
    <row r="615" spans="1:6">
      <c r="A615" t="s">
        <v>704</v>
      </c>
      <c r="C615">
        <f>device._person_supervisor_alt._company.area_pohjois</f>
        <v>0</v>
      </c>
      <c r="E615" t="s">
        <v>219</v>
      </c>
    </row>
    <row r="616" spans="1:6">
      <c r="A616" t="s">
        <v>705</v>
      </c>
      <c r="C616">
        <f>device._person_supervisor_alt._company.area_lappi</f>
        <v>0</v>
      </c>
      <c r="E616" t="s">
        <v>219</v>
      </c>
    </row>
    <row r="617" spans="1:6">
      <c r="A617" t="s">
        <v>706</v>
      </c>
      <c r="C617">
        <f>device._person_supervisor_alt._company.devgroup_paine</f>
        <v>0</v>
      </c>
      <c r="E617" t="s">
        <v>219</v>
      </c>
    </row>
    <row r="618" spans="1:6">
      <c r="A618" t="s">
        <v>707</v>
      </c>
      <c r="C618">
        <f>device._person_supervisor_alt._company.devgroup_kemikaali</f>
        <v>0</v>
      </c>
      <c r="E618" t="s">
        <v>219</v>
      </c>
    </row>
    <row r="619" spans="1:6">
      <c r="A619" t="s">
        <v>708</v>
      </c>
      <c r="C619">
        <f>device._person_supervisor_alt._company.devgroup_nestekaasu</f>
        <v>0</v>
      </c>
      <c r="E619" t="s">
        <v>219</v>
      </c>
    </row>
    <row r="620" spans="1:6">
      <c r="A620" t="s">
        <v>709</v>
      </c>
      <c r="C620">
        <f>device._person_supervisor_alt._company.devgroup_maakaasu</f>
        <v>0</v>
      </c>
      <c r="E620" t="s">
        <v>219</v>
      </c>
    </row>
    <row r="621" spans="1:6">
      <c r="A621" t="s">
        <v>710</v>
      </c>
      <c r="C621">
        <f>device._person_supervisor_alt._company.devgroup_biokaasu</f>
        <v>0</v>
      </c>
      <c r="E621" t="s">
        <v>219</v>
      </c>
    </row>
    <row r="622" spans="1:6">
      <c r="A622" t="s">
        <v>711</v>
      </c>
      <c r="C622">
        <f>device._person_supervisor_alt._company.devgroup_vakadr</f>
        <v>0</v>
      </c>
      <c r="E622" t="s">
        <v>219</v>
      </c>
    </row>
    <row r="623" spans="1:6">
      <c r="A623" t="s">
        <v>712</v>
      </c>
      <c r="C623">
        <f>device._person_supervisor_alt._company.devgroup_a2</f>
        <v>0</v>
      </c>
      <c r="E623" t="s">
        <v>219</v>
      </c>
    </row>
    <row r="624" spans="1:6">
      <c r="A624" t="s">
        <v>713</v>
      </c>
      <c r="C624">
        <f>device._person_supervisor_alt._company.devgroup_g</f>
        <v>0</v>
      </c>
      <c r="E624" t="s">
        <v>219</v>
      </c>
    </row>
    <row r="625" spans="1:6">
      <c r="A625" t="s">
        <v>714</v>
      </c>
      <c r="C625">
        <f>device._person_supervisor_alt._company.devgroup_other</f>
        <v>0</v>
      </c>
      <c r="E625" t="s">
        <v>219</v>
      </c>
    </row>
    <row r="626" spans="1:6">
      <c r="A626" t="s">
        <v>715</v>
      </c>
      <c r="C626">
        <f>device._person_supervisor_alt._company.role_manufacturer</f>
        <v>0</v>
      </c>
      <c r="E626" t="s">
        <v>219</v>
      </c>
    </row>
    <row r="627" spans="1:6">
      <c r="A627" t="s">
        <v>716</v>
      </c>
      <c r="C627">
        <f>device._person_supervisor_alt._company.role_energyplant</f>
        <v>0</v>
      </c>
      <c r="E627" t="s">
        <v>219</v>
      </c>
    </row>
    <row r="628" spans="1:6">
      <c r="A628" t="s">
        <v>717</v>
      </c>
      <c r="C628">
        <f>device._person_supervisor_alt._company.role_government</f>
        <v>0</v>
      </c>
      <c r="E628" t="s">
        <v>219</v>
      </c>
    </row>
    <row r="629" spans="1:6">
      <c r="A629" t="s">
        <v>718</v>
      </c>
      <c r="C629">
        <f>device._person_supervisor_alt._company.role_processplant</f>
        <v>0</v>
      </c>
      <c r="E629" t="s">
        <v>219</v>
      </c>
    </row>
    <row r="630" spans="1:6">
      <c r="A630" t="s">
        <v>719</v>
      </c>
      <c r="C630">
        <f>device._person_supervisor_alt._company.role_transport</f>
        <v>0</v>
      </c>
      <c r="E630" t="s">
        <v>219</v>
      </c>
    </row>
    <row r="631" spans="1:6">
      <c r="A631" t="s">
        <v>720</v>
      </c>
      <c r="C631">
        <f>device._person_supervisor_alt._company.inspection_institution</f>
        <v>0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2025-03-27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1083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1083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1083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1083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1083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1083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1083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1083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1083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1083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1083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1083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1083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1083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1083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1083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1083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1090</v>
      </c>
      <c r="C714" t="str">
        <f>ensimmainentarkastus_paiva</f>
        <v>2025-03-27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 t="str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 t="str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1083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1083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B933" t="s">
        <v>1104</v>
      </c>
      <c r="C933" t="str">
        <f>next_inspection_date</f>
        <v>2025-03-28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 t="s">
        <v>1083</v>
      </c>
      <c r="C934" t="str">
        <f>next_inside_inspection</f>
        <v>0 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 t="s">
        <v>1083</v>
      </c>
      <c r="C935" t="str">
        <f>next_usage_inspection</f>
        <v>0 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1083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 t="s">
        <v>1083</v>
      </c>
      <c r="C937" t="str">
        <f>next_other_inspection</f>
        <v>0 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1083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1083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C940">
        <f>inspection_result</f>
        <v>0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1083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C960">
        <f>general_description_device</f>
        <v>0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1090</v>
      </c>
      <c r="C961" t="str">
        <f>inspection_date</f>
        <v>2025-03-27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1090</v>
      </c>
      <c r="C962" t="str">
        <f>signature_date</f>
        <v>2025-03-27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1091</v>
      </c>
      <c r="C964" t="str">
        <f>hyvaksynta_tarkastaja</f>
        <v>p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2021-05-21T05:14:33+00:00</dcterms:created>
  <dcterms:modified xsi:type="dcterms:W3CDTF">2024-06-12T01:27:54+00:00</dcterms:modified>
  <dc:title>Untitled Spreadsheet</dc:title>
  <dc:description/>
  <dc:subject/>
  <cp:keywords/>
  <cp:category/>
</cp:coreProperties>
</file>